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drawings/drawing2.xml" ContentType="application/vnd.openxmlformats-officedocument.drawing+xml"/>
  <Override PartName="/xl/comments2.xml" ContentType="application/vnd.openxmlformats-officedocument.spreadsheetml.comments+xml"/>
  <Override PartName="/xl/charts/chart2.xml" ContentType="application/vnd.openxmlformats-officedocument.drawingml.chart+xml"/>
  <Override PartName="/xl/drawings/drawing3.xml" ContentType="application/vnd.openxmlformats-officedocument.drawing+xml"/>
  <Override PartName="/xl/comments3.xml" ContentType="application/vnd.openxmlformats-officedocument.spreadsheetml.comments+xml"/>
  <Override PartName="/xl/charts/chart3.xml" ContentType="application/vnd.openxmlformats-officedocument.drawingml.chart+xml"/>
  <Override PartName="/xl/drawings/drawing4.xml" ContentType="application/vnd.openxmlformats-officedocument.drawing+xml"/>
  <Override PartName="/xl/comments4.xml" ContentType="application/vnd.openxmlformats-officedocument.spreadsheetml.comments+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drawings/drawing6.xml" ContentType="application/vnd.openxmlformats-officedocument.drawing+xml"/>
  <Override PartName="/xl/comments8.xml" ContentType="application/vnd.openxmlformats-officedocument.spreadsheetml.comments+xml"/>
  <Override PartName="/xl/drawings/drawing7.xml" ContentType="application/vnd.openxmlformats-officedocument.drawing+xml"/>
  <Override PartName="/xl/charts/chart6.xml" ContentType="application/vnd.openxmlformats-officedocument.drawingml.chart+xml"/>
  <Override PartName="/xl/charts/chart7.xml" ContentType="application/vnd.openxmlformats-officedocument.drawingml.chart+xml"/>
  <Override PartName="/xl/drawings/drawing8.xml" ContentType="application/vnd.openxmlformats-officedocument.drawing+xml"/>
  <Override PartName="/xl/charts/chart8.xml" ContentType="application/vnd.openxmlformats-officedocument.drawingml.chart+xml"/>
  <Override PartName="/xl/drawings/drawing9.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4910" yWindow="315" windowWidth="5580" windowHeight="7830" tabRatio="780" activeTab="4"/>
  </bookViews>
  <sheets>
    <sheet name="Typhushåll 2010" sheetId="1" r:id="rId1"/>
    <sheet name="BAU 2050" sheetId="23" r:id="rId2"/>
    <sheet name="DKI 2050" sheetId="28" r:id="rId3"/>
    <sheet name="KLIMAT 2050" sheetId="30" r:id="rId4"/>
    <sheet name="Jämf medelgöteborgareb" sheetId="39" r:id="rId5"/>
    <sheet name="Flyg nuläge" sheetId="31" r:id="rId6"/>
    <sheet name="Flyg BAU" sheetId="15" r:id="rId7"/>
    <sheet name="Övrig konsumtion" sheetId="32" r:id="rId8"/>
    <sheet name="Övrig konsumtion KLIMAT" sheetId="37" r:id="rId9"/>
    <sheet name="kollektivtrafik" sheetId="10" r:id="rId10"/>
    <sheet name="emissionsfaktorer variabla" sheetId="7" r:id="rId11"/>
    <sheet name="Emissionsfaktorer bränslen" sheetId="9" r:id="rId12"/>
    <sheet name="data från trafikkontoret" sheetId="12" r:id="rId13"/>
    <sheet name="Biltrafik BAU" sheetId="16" r:id="rId14"/>
    <sheet name="elanvändning BAU" sheetId="24" r:id="rId15"/>
    <sheet name="Bakgrundsdata" sheetId="17" r:id="rId16"/>
    <sheet name="bostadsyta" sheetId="33" r:id="rId17"/>
    <sheet name="offentlig konsumtion" sheetId="34" r:id="rId18"/>
    <sheet name="Blad2" sheetId="36" r:id="rId19"/>
    <sheet name="Blad3" sheetId="38" r:id="rId20"/>
  </sheets>
  <externalReferences>
    <externalReference r:id="rId21"/>
  </externalReferences>
  <definedNames>
    <definedName name="a" localSheetId="8">[1]!x</definedName>
    <definedName name="a">[1]!x</definedName>
    <definedName name="d" localSheetId="2">[1]!y</definedName>
    <definedName name="d" localSheetId="5">[1]!y</definedName>
    <definedName name="d" localSheetId="3">[1]!y</definedName>
    <definedName name="d" localSheetId="7">[1]!y</definedName>
    <definedName name="d" localSheetId="8">[1]!y</definedName>
    <definedName name="d">[1]!y</definedName>
    <definedName name="f" localSheetId="5">[1]!x</definedName>
    <definedName name="f" localSheetId="3">[1]!x</definedName>
    <definedName name="f" localSheetId="7">[1]!x</definedName>
    <definedName name="f" localSheetId="8">[1]!x</definedName>
    <definedName name="f">[1]!x</definedName>
    <definedName name="l">#REF!+(ROW(OFFSET(#REF!,0,0,#REF!,1))-1)*(#REF!-#REF!)/(#REF!-1)</definedName>
    <definedName name="rrrr" localSheetId="5">[1]!y</definedName>
    <definedName name="rrrr" localSheetId="3">[1]!y</definedName>
    <definedName name="rrrr" localSheetId="7">[1]!y</definedName>
    <definedName name="rrrr" localSheetId="8">[1]!y</definedName>
    <definedName name="rrrr">[1]!y</definedName>
    <definedName name="x" localSheetId="1">#REF!+(ROW(OFFSET(#REF!,0,0,#REF!,1))-1)*(#REF!-#REF!)/(#REF!-1)</definedName>
    <definedName name="x" localSheetId="2">#REF!+(ROW(OFFSET(#REF!,0,0,#REF!,1))-1)*(#REF!-#REF!)/(#REF!-1)</definedName>
    <definedName name="x" localSheetId="5">#REF!+(ROW(OFFSET(#REF!,0,0,#REF!,1))-1)*(#REF!-#REF!)/(#REF!-1)</definedName>
    <definedName name="x" localSheetId="3">#REF!+(ROW(OFFSET(#REF!,0,0,#REF!,1))-1)*(#REF!-#REF!)/(#REF!-1)</definedName>
    <definedName name="x" localSheetId="7">#REF!+(ROW(OFFSET(#REF!,0,0,#REF!,1))-1)*(#REF!-#REF!)/(#REF!-1)</definedName>
    <definedName name="x" localSheetId="8">#REF!+(ROW(OFFSET(#REF!,0,0,#REF!,1))-1)*(#REF!-#REF!)/(#REF!-1)</definedName>
    <definedName name="x">#REF!+(ROW(OFFSET(#REF!,0,0,#REF!,1))-1)*(#REF!-#REF!)/(#REF!-1)</definedName>
    <definedName name="xValues" localSheetId="1">'BAU 2050'!x</definedName>
    <definedName name="xValues" localSheetId="2">'DKI 2050'!x</definedName>
    <definedName name="xValues" localSheetId="5">'Flyg nuläge'!x</definedName>
    <definedName name="xValues" localSheetId="3">'KLIMAT 2050'!x</definedName>
    <definedName name="xValues" localSheetId="7">'Övrig konsumtion'!x</definedName>
    <definedName name="xValues" localSheetId="8">'Övrig konsumtion KLIMAT'!x</definedName>
    <definedName name="xValues">[1]!x</definedName>
    <definedName name="ySeries1Values" localSheetId="1">[1]!ySeries1</definedName>
    <definedName name="ySeries1Values" localSheetId="2">[1]!ySeries1</definedName>
    <definedName name="ySeries1Values" localSheetId="5">[1]!ySeries1</definedName>
    <definedName name="ySeries1Values" localSheetId="3">[1]!ySeries1</definedName>
    <definedName name="ySeries1Values" localSheetId="7">[1]!ySeries1</definedName>
    <definedName name="ySeries1Values" localSheetId="8">[1]!ySeries1</definedName>
    <definedName name="ySeries1Values">[1]!ySeries1</definedName>
    <definedName name="ySeries2Values" localSheetId="1">[1]!ySeries2</definedName>
    <definedName name="ySeries2Values" localSheetId="2">[1]!ySeries2</definedName>
    <definedName name="ySeries2Values" localSheetId="5">[1]!ySeries2</definedName>
    <definedName name="ySeries2Values" localSheetId="3">[1]!ySeries2</definedName>
    <definedName name="ySeries2Values" localSheetId="7">[1]!ySeries2</definedName>
    <definedName name="ySeries2Values" localSheetId="8">[1]!ySeries2</definedName>
    <definedName name="ySeries2Values">[1]!ySeries2</definedName>
    <definedName name="ySeries3Values" localSheetId="1">[1]!ySeries3</definedName>
    <definedName name="ySeries3Values" localSheetId="2">[1]!ySeries3</definedName>
    <definedName name="ySeries3Values" localSheetId="5">[1]!ySeries3</definedName>
    <definedName name="ySeries3Values" localSheetId="3">[1]!ySeries3</definedName>
    <definedName name="ySeries3Values" localSheetId="7">[1]!ySeries3</definedName>
    <definedName name="ySeries3Values" localSheetId="8">[1]!ySeries3</definedName>
    <definedName name="ySeries3Values">[1]!ySeries3</definedName>
    <definedName name="ySeries4Values" localSheetId="1">[1]!ySeries4</definedName>
    <definedName name="ySeries4Values" localSheetId="2">[1]!ySeries4</definedName>
    <definedName name="ySeries4Values" localSheetId="5">[1]!ySeries4</definedName>
    <definedName name="ySeries4Values" localSheetId="3">[1]!ySeries4</definedName>
    <definedName name="ySeries4Values" localSheetId="7">[1]!ySeries4</definedName>
    <definedName name="ySeries4Values" localSheetId="8">[1]!ySeries4</definedName>
    <definedName name="ySeries4Values">[1]!ySeries4</definedName>
    <definedName name="yvalues" localSheetId="1">[1]!y</definedName>
    <definedName name="yvalues" localSheetId="2">[1]!y</definedName>
    <definedName name="yvalues" localSheetId="5">[1]!y</definedName>
    <definedName name="yvalues" localSheetId="3">[1]!y</definedName>
    <definedName name="yvalues" localSheetId="7">[1]!y</definedName>
    <definedName name="yvalues" localSheetId="8">[1]!y</definedName>
    <definedName name="yvalues">[1]!y</definedName>
  </definedNames>
  <calcPr calcId="145621"/>
</workbook>
</file>

<file path=xl/calcChain.xml><?xml version="1.0" encoding="utf-8"?>
<calcChain xmlns="http://schemas.openxmlformats.org/spreadsheetml/2006/main">
  <c r="E4" i="39" l="1"/>
  <c r="E5" i="39"/>
  <c r="E6" i="39"/>
  <c r="E7" i="39"/>
  <c r="E8" i="39"/>
  <c r="E9" i="39"/>
  <c r="E10" i="39"/>
  <c r="E3" i="39"/>
  <c r="D4" i="39"/>
  <c r="D5" i="39"/>
  <c r="D6" i="39"/>
  <c r="D7" i="39"/>
  <c r="D8" i="39"/>
  <c r="D9" i="39"/>
  <c r="D10" i="39"/>
  <c r="D3" i="39"/>
  <c r="C4" i="39"/>
  <c r="C5" i="39"/>
  <c r="C6" i="39"/>
  <c r="C7" i="39"/>
  <c r="C8" i="39"/>
  <c r="C9" i="39"/>
  <c r="C10" i="39"/>
  <c r="C3" i="39"/>
  <c r="B4" i="39"/>
  <c r="B5" i="39"/>
  <c r="B6" i="39"/>
  <c r="B7" i="39"/>
  <c r="B8" i="39"/>
  <c r="B9" i="39"/>
  <c r="B10" i="39"/>
  <c r="B3" i="39"/>
  <c r="B8" i="15" l="1"/>
  <c r="B13" i="23" l="1"/>
  <c r="B26" i="1" l="1"/>
  <c r="D19" i="1"/>
  <c r="D24" i="1"/>
  <c r="B12" i="23" l="1"/>
  <c r="B27" i="1"/>
  <c r="B9" i="1"/>
  <c r="D28" i="30"/>
  <c r="C31" i="30"/>
  <c r="D31" i="30"/>
  <c r="B31" i="30"/>
  <c r="D6" i="34"/>
  <c r="B15" i="30"/>
  <c r="D15" i="30" l="1"/>
  <c r="D14" i="30"/>
  <c r="C19" i="30"/>
  <c r="D19" i="30"/>
  <c r="B19" i="30"/>
  <c r="B14" i="30"/>
  <c r="D27" i="28"/>
  <c r="C27" i="28"/>
  <c r="C19" i="28"/>
  <c r="D19" i="28"/>
  <c r="D15" i="28"/>
  <c r="D14" i="28"/>
  <c r="B27" i="28" l="1"/>
  <c r="B19" i="28"/>
  <c r="B14" i="28"/>
  <c r="B15" i="28"/>
  <c r="C18" i="23" l="1"/>
  <c r="B24" i="30"/>
  <c r="S67" i="37"/>
  <c r="T67" i="37"/>
  <c r="U67" i="37"/>
  <c r="P29" i="37"/>
  <c r="C24" i="30"/>
  <c r="D24" i="30"/>
  <c r="C31" i="15"/>
  <c r="H12" i="15"/>
  <c r="C8" i="15" s="1"/>
  <c r="C24" i="28" s="1"/>
  <c r="C45" i="28" s="1"/>
  <c r="C19" i="23"/>
  <c r="C22" i="1"/>
  <c r="B70" i="30"/>
  <c r="B71" i="30"/>
  <c r="A1" i="38"/>
  <c r="E61" i="37"/>
  <c r="E68" i="37"/>
  <c r="K68" i="37"/>
  <c r="B29" i="23"/>
  <c r="K53" i="37"/>
  <c r="K46" i="37"/>
  <c r="K45" i="37"/>
  <c r="K44" i="37"/>
  <c r="K43" i="37"/>
  <c r="K42" i="37"/>
  <c r="K37" i="37"/>
  <c r="K35" i="37"/>
  <c r="K33" i="37"/>
  <c r="K32" i="37"/>
  <c r="K29" i="37"/>
  <c r="D53" i="37"/>
  <c r="D46" i="37"/>
  <c r="D45" i="37"/>
  <c r="D44" i="37"/>
  <c r="D43" i="37"/>
  <c r="D42" i="37"/>
  <c r="D37" i="37"/>
  <c r="D35" i="37"/>
  <c r="D33" i="37"/>
  <c r="D32" i="37"/>
  <c r="D29" i="37"/>
  <c r="K27" i="37"/>
  <c r="K28" i="37"/>
  <c r="K30" i="37"/>
  <c r="K31" i="37"/>
  <c r="K34" i="37"/>
  <c r="K36" i="37"/>
  <c r="K38" i="37"/>
  <c r="K39" i="37"/>
  <c r="K40" i="37"/>
  <c r="K41" i="37"/>
  <c r="K47" i="37"/>
  <c r="K48" i="37"/>
  <c r="K49" i="37"/>
  <c r="K50" i="37"/>
  <c r="K51" i="37"/>
  <c r="K52" i="37"/>
  <c r="K54" i="37"/>
  <c r="K55" i="37"/>
  <c r="K56" i="37"/>
  <c r="K57" i="37"/>
  <c r="K58" i="37"/>
  <c r="K59" i="37"/>
  <c r="K60" i="37"/>
  <c r="K26" i="37"/>
  <c r="E27" i="37"/>
  <c r="E28" i="37"/>
  <c r="E30" i="37"/>
  <c r="E31" i="37"/>
  <c r="E34" i="37"/>
  <c r="E36" i="37"/>
  <c r="E38" i="37"/>
  <c r="E39" i="37"/>
  <c r="E40" i="37"/>
  <c r="E41" i="37"/>
  <c r="E47" i="37"/>
  <c r="E48" i="37"/>
  <c r="E49" i="37"/>
  <c r="E50" i="37"/>
  <c r="E51" i="37"/>
  <c r="E52" i="37"/>
  <c r="E54" i="37"/>
  <c r="E55" i="37"/>
  <c r="E56" i="37"/>
  <c r="E57" i="37"/>
  <c r="E58" i="37"/>
  <c r="E59" i="37"/>
  <c r="E60" i="37"/>
  <c r="E26" i="37"/>
  <c r="D27" i="37"/>
  <c r="D28" i="37"/>
  <c r="D30" i="37"/>
  <c r="D31" i="37"/>
  <c r="D34" i="37"/>
  <c r="D36" i="37"/>
  <c r="D38" i="37"/>
  <c r="D39" i="37"/>
  <c r="D40" i="37"/>
  <c r="D41" i="37"/>
  <c r="D47" i="37"/>
  <c r="D48" i="37"/>
  <c r="D49" i="37"/>
  <c r="D50" i="37"/>
  <c r="D51" i="37"/>
  <c r="D52" i="37"/>
  <c r="D54" i="37"/>
  <c r="D55" i="37"/>
  <c r="D56" i="37"/>
  <c r="D57" i="37"/>
  <c r="D58" i="37"/>
  <c r="D59" i="37"/>
  <c r="D60" i="37"/>
  <c r="D26" i="37"/>
  <c r="E69" i="37"/>
  <c r="K69" i="37"/>
  <c r="K70" i="37"/>
  <c r="D70" i="37"/>
  <c r="D69" i="37"/>
  <c r="P66" i="37"/>
  <c r="R63" i="37"/>
  <c r="S62" i="37"/>
  <c r="N62" i="37"/>
  <c r="N61" i="37"/>
  <c r="P61" i="37"/>
  <c r="U61" i="37"/>
  <c r="S61" i="37"/>
  <c r="F63" i="32"/>
  <c r="E62" i="37"/>
  <c r="P62" i="37"/>
  <c r="U62" i="37"/>
  <c r="D62" i="37"/>
  <c r="D61" i="37"/>
  <c r="D68" i="37"/>
  <c r="L63" i="32"/>
  <c r="E63" i="32"/>
  <c r="O62" i="37"/>
  <c r="T62" i="37"/>
  <c r="L64" i="37"/>
  <c r="C64" i="37"/>
  <c r="F64" i="37"/>
  <c r="G64" i="37"/>
  <c r="H64" i="37"/>
  <c r="I64" i="37"/>
  <c r="J64" i="37"/>
  <c r="C23" i="37"/>
  <c r="L22" i="37"/>
  <c r="K22" i="37"/>
  <c r="K23" i="37"/>
  <c r="J22" i="37"/>
  <c r="J23" i="37"/>
  <c r="I22" i="37"/>
  <c r="I23" i="37"/>
  <c r="H22" i="37"/>
  <c r="G22" i="37"/>
  <c r="F22" i="37"/>
  <c r="F23" i="37"/>
  <c r="E22" i="37"/>
  <c r="E23" i="37"/>
  <c r="P22" i="37"/>
  <c r="D22" i="37"/>
  <c r="C22" i="37"/>
  <c r="P20" i="37"/>
  <c r="O20" i="37"/>
  <c r="N20" i="37"/>
  <c r="L20" i="37"/>
  <c r="K20" i="37"/>
  <c r="J20" i="37"/>
  <c r="I20" i="37"/>
  <c r="H20" i="37"/>
  <c r="G20" i="37"/>
  <c r="F20" i="37"/>
  <c r="E20" i="37"/>
  <c r="D20" i="37"/>
  <c r="C20" i="37"/>
  <c r="P20" i="32"/>
  <c r="N27" i="37"/>
  <c r="S27" i="37"/>
  <c r="N54" i="37"/>
  <c r="S54" i="37"/>
  <c r="O61" i="37"/>
  <c r="T61" i="37"/>
  <c r="N60" i="37"/>
  <c r="S60" i="37"/>
  <c r="E70" i="37"/>
  <c r="G23" i="37"/>
  <c r="N22" i="37"/>
  <c r="D23" i="37"/>
  <c r="O22" i="37"/>
  <c r="H23" i="37"/>
  <c r="L23" i="37"/>
  <c r="J19" i="10"/>
  <c r="J18" i="10"/>
  <c r="E42" i="37"/>
  <c r="P42" i="37"/>
  <c r="U42" i="37"/>
  <c r="E44" i="37"/>
  <c r="P44" i="37"/>
  <c r="U44" i="37"/>
  <c r="E35" i="37"/>
  <c r="E53" i="37"/>
  <c r="E43" i="37"/>
  <c r="P43" i="37"/>
  <c r="U43" i="37"/>
  <c r="E33" i="37"/>
  <c r="P33" i="37"/>
  <c r="U33" i="37"/>
  <c r="E46" i="37"/>
  <c r="E32" i="37"/>
  <c r="E45" i="37"/>
  <c r="E37" i="37"/>
  <c r="P37" i="37"/>
  <c r="U37" i="37"/>
  <c r="E29" i="37"/>
  <c r="O32" i="37"/>
  <c r="T32" i="37"/>
  <c r="O41" i="37"/>
  <c r="T41" i="37"/>
  <c r="O51" i="37"/>
  <c r="T51" i="37"/>
  <c r="O35" i="37"/>
  <c r="T35" i="37"/>
  <c r="O54" i="37"/>
  <c r="T54" i="37"/>
  <c r="D64" i="37"/>
  <c r="O47" i="37"/>
  <c r="T47" i="37"/>
  <c r="O31" i="37"/>
  <c r="T31" i="37"/>
  <c r="O34" i="37"/>
  <c r="T34" i="37"/>
  <c r="O45" i="37"/>
  <c r="T45" i="37"/>
  <c r="O44" i="37"/>
  <c r="T44" i="37"/>
  <c r="O29" i="37"/>
  <c r="T29" i="37"/>
  <c r="O43" i="37"/>
  <c r="T43" i="37"/>
  <c r="P30" i="37"/>
  <c r="U30" i="37"/>
  <c r="P34" i="37"/>
  <c r="U34" i="37"/>
  <c r="P38" i="37"/>
  <c r="U38" i="37"/>
  <c r="P46" i="37"/>
  <c r="U46" i="37"/>
  <c r="P50" i="37"/>
  <c r="U50" i="37"/>
  <c r="P54" i="37"/>
  <c r="U54" i="37"/>
  <c r="P58" i="37"/>
  <c r="U58" i="37"/>
  <c r="P31" i="37"/>
  <c r="U31" i="37"/>
  <c r="P35" i="37"/>
  <c r="U35" i="37"/>
  <c r="P39" i="37"/>
  <c r="U39" i="37"/>
  <c r="P47" i="37"/>
  <c r="U47" i="37"/>
  <c r="P51" i="37"/>
  <c r="U51" i="37"/>
  <c r="P55" i="37"/>
  <c r="U55" i="37"/>
  <c r="P59" i="37"/>
  <c r="U59" i="37"/>
  <c r="P28" i="37"/>
  <c r="U28" i="37"/>
  <c r="P32" i="37"/>
  <c r="U32" i="37"/>
  <c r="P36" i="37"/>
  <c r="U36" i="37"/>
  <c r="P40" i="37"/>
  <c r="U40" i="37"/>
  <c r="P48" i="37"/>
  <c r="U48" i="37"/>
  <c r="P52" i="37"/>
  <c r="U52" i="37"/>
  <c r="P56" i="37"/>
  <c r="U56" i="37"/>
  <c r="P60" i="37"/>
  <c r="U60" i="37"/>
  <c r="P41" i="37"/>
  <c r="U41" i="37"/>
  <c r="P45" i="37"/>
  <c r="U45" i="37"/>
  <c r="P49" i="37"/>
  <c r="U49" i="37"/>
  <c r="P53" i="37"/>
  <c r="U53" i="37"/>
  <c r="P57" i="37"/>
  <c r="U57" i="37"/>
  <c r="P26" i="37"/>
  <c r="U26" i="37"/>
  <c r="K66" i="37"/>
  <c r="K64" i="37"/>
  <c r="N26" i="37"/>
  <c r="O57" i="37"/>
  <c r="T57" i="37"/>
  <c r="O53" i="37"/>
  <c r="T53" i="37"/>
  <c r="O49" i="37"/>
  <c r="T49" i="37"/>
  <c r="O37" i="37"/>
  <c r="T37" i="37"/>
  <c r="O33" i="37"/>
  <c r="T33" i="37"/>
  <c r="O39" i="37"/>
  <c r="T39" i="37"/>
  <c r="O60" i="37"/>
  <c r="T60" i="37"/>
  <c r="O56" i="37"/>
  <c r="T56" i="37"/>
  <c r="O52" i="37"/>
  <c r="T52" i="37"/>
  <c r="O48" i="37"/>
  <c r="T48" i="37"/>
  <c r="O40" i="37"/>
  <c r="T40" i="37"/>
  <c r="O36" i="37"/>
  <c r="T36" i="37"/>
  <c r="O59" i="37"/>
  <c r="T59" i="37"/>
  <c r="O55" i="37"/>
  <c r="T55" i="37"/>
  <c r="O58" i="37"/>
  <c r="T58" i="37"/>
  <c r="O50" i="37"/>
  <c r="T50" i="37"/>
  <c r="O42" i="37"/>
  <c r="T42" i="37"/>
  <c r="O30" i="37"/>
  <c r="T30" i="37"/>
  <c r="O46" i="37"/>
  <c r="T46" i="37"/>
  <c r="O38" i="37"/>
  <c r="T38" i="37"/>
  <c r="O27" i="37"/>
  <c r="T27" i="37"/>
  <c r="N58" i="37"/>
  <c r="S58" i="37"/>
  <c r="N50" i="37"/>
  <c r="S50" i="37"/>
  <c r="N46" i="37"/>
  <c r="S46" i="37"/>
  <c r="N42" i="37"/>
  <c r="S42" i="37"/>
  <c r="N38" i="37"/>
  <c r="S38" i="37"/>
  <c r="N34" i="37"/>
  <c r="S34" i="37"/>
  <c r="N30" i="37"/>
  <c r="S30" i="37"/>
  <c r="N48" i="37"/>
  <c r="S48" i="37"/>
  <c r="N44" i="37"/>
  <c r="S44" i="37"/>
  <c r="N40" i="37"/>
  <c r="S40" i="37"/>
  <c r="N36" i="37"/>
  <c r="S36" i="37"/>
  <c r="N57" i="37"/>
  <c r="S57" i="37"/>
  <c r="N53" i="37"/>
  <c r="S53" i="37"/>
  <c r="N49" i="37"/>
  <c r="S49" i="37"/>
  <c r="N45" i="37"/>
  <c r="S45" i="37"/>
  <c r="N41" i="37"/>
  <c r="S41" i="37"/>
  <c r="N37" i="37"/>
  <c r="S37" i="37"/>
  <c r="N33" i="37"/>
  <c r="S33" i="37"/>
  <c r="N29" i="37"/>
  <c r="S29" i="37"/>
  <c r="N56" i="37"/>
  <c r="S56" i="37"/>
  <c r="N52" i="37"/>
  <c r="S52" i="37"/>
  <c r="N32" i="37"/>
  <c r="S32" i="37"/>
  <c r="N31" i="37"/>
  <c r="S31" i="37"/>
  <c r="N59" i="37"/>
  <c r="S59" i="37"/>
  <c r="N51" i="37"/>
  <c r="S51" i="37"/>
  <c r="N43" i="37"/>
  <c r="S43" i="37"/>
  <c r="N35" i="37"/>
  <c r="S35" i="37"/>
  <c r="N28" i="37"/>
  <c r="N47" i="37"/>
  <c r="S47" i="37"/>
  <c r="N39" i="37"/>
  <c r="S39" i="37"/>
  <c r="N55" i="37"/>
  <c r="S55" i="37"/>
  <c r="U29" i="37"/>
  <c r="P63" i="37"/>
  <c r="O28" i="37"/>
  <c r="T28" i="37"/>
  <c r="S26" i="37"/>
  <c r="N63" i="37"/>
  <c r="E64" i="37"/>
  <c r="P27" i="37"/>
  <c r="S28" i="37"/>
  <c r="C18" i="7"/>
  <c r="D18" i="7"/>
  <c r="S63" i="37"/>
  <c r="U27" i="37"/>
  <c r="U63" i="37"/>
  <c r="Q64" i="32"/>
  <c r="S61" i="32"/>
  <c r="F46" i="30"/>
  <c r="B39" i="1"/>
  <c r="D27" i="1"/>
  <c r="D39" i="1" s="1"/>
  <c r="B16" i="31"/>
  <c r="C35" i="1"/>
  <c r="D35" i="1"/>
  <c r="B35" i="1"/>
  <c r="D61" i="31"/>
  <c r="G62" i="31"/>
  <c r="G53" i="31"/>
  <c r="D60" i="31"/>
  <c r="D62" i="31"/>
  <c r="D93" i="31"/>
  <c r="D94" i="31"/>
  <c r="D52" i="31"/>
  <c r="D53" i="31"/>
  <c r="B3" i="31"/>
  <c r="B2" i="31"/>
  <c r="B4" i="31"/>
  <c r="B5" i="31"/>
  <c r="B6" i="31"/>
  <c r="B8" i="31"/>
  <c r="B10" i="31"/>
  <c r="B12" i="31"/>
  <c r="B15" i="31"/>
  <c r="D11" i="1"/>
  <c r="D11" i="23"/>
  <c r="D25" i="1"/>
  <c r="B18" i="7"/>
  <c r="E26" i="7" s="1"/>
  <c r="B39" i="30"/>
  <c r="C39" i="28"/>
  <c r="D39" i="28"/>
  <c r="B39" i="28"/>
  <c r="B36" i="23"/>
  <c r="C36" i="23"/>
  <c r="D36" i="23"/>
  <c r="D37" i="23"/>
  <c r="C36" i="1"/>
  <c r="D36" i="1"/>
  <c r="C37" i="1"/>
  <c r="D37" i="1"/>
  <c r="C41" i="1"/>
  <c r="B37" i="1"/>
  <c r="B36" i="1"/>
  <c r="D39" i="30"/>
  <c r="C39" i="30"/>
  <c r="B18" i="1"/>
  <c r="D41" i="1"/>
  <c r="C9" i="33"/>
  <c r="C8" i="33"/>
  <c r="D5" i="33"/>
  <c r="D4" i="33"/>
  <c r="H4" i="15"/>
  <c r="H15" i="15"/>
  <c r="C22" i="28"/>
  <c r="B22" i="28"/>
  <c r="H16" i="15"/>
  <c r="D11" i="30"/>
  <c r="C3" i="30"/>
  <c r="D3" i="30"/>
  <c r="B3" i="30"/>
  <c r="B11" i="30"/>
  <c r="D11" i="28"/>
  <c r="B11" i="28"/>
  <c r="B25" i="10"/>
  <c r="D22" i="28"/>
  <c r="M22" i="32"/>
  <c r="L22" i="32"/>
  <c r="K22" i="32"/>
  <c r="J22" i="32"/>
  <c r="I22" i="32"/>
  <c r="H22" i="32"/>
  <c r="G22" i="32"/>
  <c r="F22" i="32"/>
  <c r="E22" i="32"/>
  <c r="D22" i="32"/>
  <c r="Q20" i="32"/>
  <c r="O20" i="32"/>
  <c r="M20" i="32"/>
  <c r="L20" i="32"/>
  <c r="K20" i="32"/>
  <c r="J20" i="32"/>
  <c r="I20" i="32"/>
  <c r="H20" i="32"/>
  <c r="G20" i="32"/>
  <c r="F20" i="32"/>
  <c r="E20" i="32"/>
  <c r="D20" i="32"/>
  <c r="D23" i="32"/>
  <c r="H23" i="32"/>
  <c r="L23" i="32"/>
  <c r="O22" i="32"/>
  <c r="F23" i="32"/>
  <c r="J23" i="32"/>
  <c r="E23" i="32"/>
  <c r="P22" i="32"/>
  <c r="I23" i="32"/>
  <c r="M23" i="32"/>
  <c r="G23" i="32"/>
  <c r="K23" i="32"/>
  <c r="Q22" i="32"/>
  <c r="O45" i="32"/>
  <c r="T45" i="32"/>
  <c r="O57" i="32"/>
  <c r="T57" i="32"/>
  <c r="O37" i="32"/>
  <c r="T37" i="32"/>
  <c r="O44" i="32"/>
  <c r="T44" i="32"/>
  <c r="O47" i="32"/>
  <c r="T47" i="32"/>
  <c r="O32" i="32"/>
  <c r="T32" i="32"/>
  <c r="O42" i="32"/>
  <c r="T42" i="32"/>
  <c r="O50" i="32"/>
  <c r="T50" i="32"/>
  <c r="O53" i="32"/>
  <c r="T53" i="32"/>
  <c r="O60" i="32"/>
  <c r="T60" i="32"/>
  <c r="O36" i="32"/>
  <c r="T36" i="32"/>
  <c r="O43" i="32"/>
  <c r="T43" i="32"/>
  <c r="O31" i="32"/>
  <c r="T31" i="32"/>
  <c r="O28" i="32"/>
  <c r="T28" i="32"/>
  <c r="O34" i="32"/>
  <c r="T34" i="32"/>
  <c r="O49" i="32"/>
  <c r="T49" i="32"/>
  <c r="O52" i="32"/>
  <c r="T52" i="32"/>
  <c r="O59" i="32"/>
  <c r="T59" i="32"/>
  <c r="O39" i="32"/>
  <c r="T39" i="32"/>
  <c r="O29" i="32"/>
  <c r="T29" i="32"/>
  <c r="O54" i="32"/>
  <c r="T54" i="32"/>
  <c r="O46" i="32"/>
  <c r="T46" i="32"/>
  <c r="O41" i="32"/>
  <c r="T41" i="32"/>
  <c r="O48" i="32"/>
  <c r="T48" i="32"/>
  <c r="O55" i="32"/>
  <c r="T55" i="32"/>
  <c r="O33" i="32"/>
  <c r="T33" i="32"/>
  <c r="O58" i="32"/>
  <c r="T58" i="32"/>
  <c r="O38" i="32"/>
  <c r="T38" i="32"/>
  <c r="O26" i="32"/>
  <c r="T26" i="32"/>
  <c r="O27" i="32"/>
  <c r="T27" i="32"/>
  <c r="O30" i="32"/>
  <c r="T30" i="32"/>
  <c r="O35" i="32"/>
  <c r="T35" i="32"/>
  <c r="O51" i="32"/>
  <c r="T51" i="32"/>
  <c r="O40" i="32"/>
  <c r="T40" i="32"/>
  <c r="O56" i="32"/>
  <c r="T56" i="32"/>
  <c r="P60" i="32"/>
  <c r="U60" i="32"/>
  <c r="P56" i="32"/>
  <c r="U56" i="32"/>
  <c r="P52" i="32"/>
  <c r="U52" i="32"/>
  <c r="P48" i="32"/>
  <c r="U48" i="32"/>
  <c r="P44" i="32"/>
  <c r="U44" i="32"/>
  <c r="P40" i="32"/>
  <c r="U40" i="32"/>
  <c r="P36" i="32"/>
  <c r="U36" i="32"/>
  <c r="P59" i="32"/>
  <c r="U59" i="32"/>
  <c r="P55" i="32"/>
  <c r="U55" i="32"/>
  <c r="P51" i="32"/>
  <c r="U51" i="32"/>
  <c r="P47" i="32"/>
  <c r="U47" i="32"/>
  <c r="P43" i="32"/>
  <c r="U43" i="32"/>
  <c r="P39" i="32"/>
  <c r="U39" i="32"/>
  <c r="P35" i="32"/>
  <c r="U35" i="32"/>
  <c r="P33" i="32"/>
  <c r="U33" i="32"/>
  <c r="P32" i="32"/>
  <c r="U32" i="32"/>
  <c r="P31" i="32"/>
  <c r="U31" i="32"/>
  <c r="P30" i="32"/>
  <c r="U30" i="32"/>
  <c r="P29" i="32"/>
  <c r="U29" i="32"/>
  <c r="P28" i="32"/>
  <c r="U28" i="32"/>
  <c r="P27" i="32"/>
  <c r="U27" i="32"/>
  <c r="P26" i="32"/>
  <c r="P58" i="32"/>
  <c r="U58" i="32"/>
  <c r="P54" i="32"/>
  <c r="U54" i="32"/>
  <c r="P50" i="32"/>
  <c r="U50" i="32"/>
  <c r="P46" i="32"/>
  <c r="U46" i="32"/>
  <c r="P42" i="32"/>
  <c r="U42" i="32"/>
  <c r="P38" i="32"/>
  <c r="U38" i="32"/>
  <c r="P34" i="32"/>
  <c r="U34" i="32"/>
  <c r="P49" i="32"/>
  <c r="U49" i="32"/>
  <c r="P45" i="32"/>
  <c r="U45" i="32"/>
  <c r="P57" i="32"/>
  <c r="U57" i="32"/>
  <c r="P41" i="32"/>
  <c r="U41" i="32"/>
  <c r="P53" i="32"/>
  <c r="U53" i="32"/>
  <c r="P37" i="32"/>
  <c r="U37" i="32"/>
  <c r="Q57" i="32"/>
  <c r="V57" i="32"/>
  <c r="Q53" i="32"/>
  <c r="V53" i="32"/>
  <c r="Q49" i="32"/>
  <c r="V49" i="32"/>
  <c r="Q45" i="32"/>
  <c r="V45" i="32"/>
  <c r="Q41" i="32"/>
  <c r="V41" i="32"/>
  <c r="Q37" i="32"/>
  <c r="V37" i="32"/>
  <c r="Q60" i="32"/>
  <c r="V60" i="32"/>
  <c r="Q56" i="32"/>
  <c r="V56" i="32"/>
  <c r="Q52" i="32"/>
  <c r="V52" i="32"/>
  <c r="Q48" i="32"/>
  <c r="V48" i="32"/>
  <c r="Q44" i="32"/>
  <c r="V44" i="32"/>
  <c r="Q40" i="32"/>
  <c r="V40" i="32"/>
  <c r="Q36" i="32"/>
  <c r="V36" i="32"/>
  <c r="Q33" i="32"/>
  <c r="V33" i="32"/>
  <c r="Q32" i="32"/>
  <c r="V32" i="32"/>
  <c r="Q31" i="32"/>
  <c r="V31" i="32"/>
  <c r="Q30" i="32"/>
  <c r="V30" i="32"/>
  <c r="Q29" i="32"/>
  <c r="V29" i="32"/>
  <c r="Q28" i="32"/>
  <c r="V28" i="32"/>
  <c r="Q27" i="32"/>
  <c r="V27" i="32"/>
  <c r="Q26" i="32"/>
  <c r="Q59" i="32"/>
  <c r="V59" i="32"/>
  <c r="Q55" i="32"/>
  <c r="V55" i="32"/>
  <c r="Q51" i="32"/>
  <c r="V51" i="32"/>
  <c r="Q47" i="32"/>
  <c r="V47" i="32"/>
  <c r="Q43" i="32"/>
  <c r="V43" i="32"/>
  <c r="Q39" i="32"/>
  <c r="V39" i="32"/>
  <c r="Q35" i="32"/>
  <c r="V35" i="32"/>
  <c r="Q54" i="32"/>
  <c r="V54" i="32"/>
  <c r="Q38" i="32"/>
  <c r="V38" i="32"/>
  <c r="Q58" i="32"/>
  <c r="V58" i="32"/>
  <c r="Q50" i="32"/>
  <c r="V50" i="32"/>
  <c r="Q34" i="32"/>
  <c r="V34" i="32"/>
  <c r="Q46" i="32"/>
  <c r="V46" i="32"/>
  <c r="Q42" i="32"/>
  <c r="V42" i="32"/>
  <c r="O61" i="32"/>
  <c r="T61" i="32"/>
  <c r="B29" i="1"/>
  <c r="B42" i="1"/>
  <c r="Q61" i="32"/>
  <c r="V26" i="32"/>
  <c r="V61" i="32"/>
  <c r="D29" i="1"/>
  <c r="U26" i="32"/>
  <c r="U61" i="32"/>
  <c r="C29" i="1"/>
  <c r="P61" i="32"/>
  <c r="D29" i="23"/>
  <c r="D42" i="1"/>
  <c r="C42" i="1"/>
  <c r="C29" i="23"/>
  <c r="H9" i="15"/>
  <c r="H10" i="15" s="1"/>
  <c r="B42" i="23"/>
  <c r="D42" i="23"/>
  <c r="C42" i="23"/>
  <c r="B22" i="1"/>
  <c r="D22" i="1"/>
  <c r="C6" i="15"/>
  <c r="B45" i="30"/>
  <c r="B6" i="15"/>
  <c r="B31" i="15" s="1"/>
  <c r="B43" i="1"/>
  <c r="D43" i="1"/>
  <c r="D6" i="15"/>
  <c r="D31" i="15" s="1"/>
  <c r="C43" i="1"/>
  <c r="B19" i="15"/>
  <c r="B24" i="15" s="1"/>
  <c r="C13" i="15"/>
  <c r="B20" i="15"/>
  <c r="B25" i="15" s="1"/>
  <c r="C26" i="28"/>
  <c r="B26" i="28"/>
  <c r="D20" i="23"/>
  <c r="D12" i="23"/>
  <c r="D13" i="15"/>
  <c r="D14" i="15" s="1"/>
  <c r="C26" i="15" s="1"/>
  <c r="C27" i="30"/>
  <c r="C26" i="30"/>
  <c r="B27" i="30"/>
  <c r="B26" i="30"/>
  <c r="C12" i="23"/>
  <c r="C16" i="23"/>
  <c r="C17" i="23"/>
  <c r="C14" i="23"/>
  <c r="C13" i="23"/>
  <c r="B14" i="23"/>
  <c r="B16" i="23"/>
  <c r="B17" i="23"/>
  <c r="B15" i="23"/>
  <c r="G38" i="16"/>
  <c r="G37" i="16"/>
  <c r="G35" i="16"/>
  <c r="G34" i="16"/>
  <c r="AT10" i="16"/>
  <c r="AU10" i="16"/>
  <c r="AV10" i="16"/>
  <c r="AW10" i="16"/>
  <c r="AX10" i="16"/>
  <c r="AY10" i="16"/>
  <c r="AZ10" i="16"/>
  <c r="BA10" i="16"/>
  <c r="BB10" i="16"/>
  <c r="BC10" i="16"/>
  <c r="BD10" i="16"/>
  <c r="BE10" i="16"/>
  <c r="BF10" i="16"/>
  <c r="BG10" i="16"/>
  <c r="BH10" i="16"/>
  <c r="BI10" i="16"/>
  <c r="BJ10" i="16"/>
  <c r="BK10" i="16"/>
  <c r="BL10" i="16"/>
  <c r="BM10" i="16"/>
  <c r="BN10" i="16"/>
  <c r="BO10" i="16"/>
  <c r="BP10" i="16"/>
  <c r="BQ10" i="16"/>
  <c r="BR10" i="16"/>
  <c r="BS10" i="16"/>
  <c r="BT10" i="16"/>
  <c r="BU10" i="16"/>
  <c r="BV10" i="16"/>
  <c r="BW10" i="16"/>
  <c r="BX10" i="16"/>
  <c r="BY10" i="16"/>
  <c r="BZ10" i="16"/>
  <c r="CA10" i="16"/>
  <c r="CB10" i="16"/>
  <c r="CC10" i="16"/>
  <c r="CD10" i="16"/>
  <c r="AS10" i="16"/>
  <c r="AR13" i="16"/>
  <c r="AR12" i="16"/>
  <c r="AS9" i="16"/>
  <c r="AT9" i="16"/>
  <c r="AU9" i="16"/>
  <c r="AV9" i="16"/>
  <c r="AW9" i="16"/>
  <c r="AX9" i="16"/>
  <c r="AY9" i="16"/>
  <c r="AZ9" i="16"/>
  <c r="BA9" i="16"/>
  <c r="BB9" i="16"/>
  <c r="BC9" i="16"/>
  <c r="BD9" i="16"/>
  <c r="BE9" i="16"/>
  <c r="BF9" i="16"/>
  <c r="BG9" i="16"/>
  <c r="BH9" i="16"/>
  <c r="BI9" i="16"/>
  <c r="BJ9" i="16"/>
  <c r="BK9" i="16"/>
  <c r="BL9" i="16"/>
  <c r="BM9" i="16"/>
  <c r="BN9" i="16"/>
  <c r="BO9" i="16"/>
  <c r="BP9" i="16"/>
  <c r="BQ9" i="16"/>
  <c r="BR9" i="16"/>
  <c r="BS9" i="16"/>
  <c r="BT9" i="16"/>
  <c r="BU9" i="16"/>
  <c r="BV9" i="16"/>
  <c r="BW9" i="16"/>
  <c r="BX9" i="16"/>
  <c r="BY9" i="16"/>
  <c r="BZ9" i="16"/>
  <c r="CA9" i="16"/>
  <c r="CB9" i="16"/>
  <c r="CC9" i="16"/>
  <c r="CD9" i="16"/>
  <c r="C10" i="16"/>
  <c r="D10" i="16"/>
  <c r="E10" i="16"/>
  <c r="F10" i="16"/>
  <c r="G10" i="16"/>
  <c r="H10" i="16"/>
  <c r="I10" i="16"/>
  <c r="J10" i="16"/>
  <c r="K10" i="16"/>
  <c r="L10" i="16"/>
  <c r="M10" i="16"/>
  <c r="N10" i="16"/>
  <c r="O10" i="16"/>
  <c r="P10" i="16"/>
  <c r="Q10" i="16"/>
  <c r="R10" i="16"/>
  <c r="S10" i="16"/>
  <c r="T10" i="16"/>
  <c r="U10" i="16"/>
  <c r="V10" i="16"/>
  <c r="W10" i="16"/>
  <c r="X10" i="16"/>
  <c r="Y10" i="16"/>
  <c r="Z10" i="16"/>
  <c r="AA10" i="16"/>
  <c r="AB10" i="16"/>
  <c r="AC10" i="16"/>
  <c r="AD10" i="16"/>
  <c r="AE10" i="16"/>
  <c r="AF10" i="16"/>
  <c r="AG10" i="16"/>
  <c r="AH10" i="16"/>
  <c r="AI10" i="16"/>
  <c r="AJ10" i="16"/>
  <c r="AK10" i="16"/>
  <c r="AL10" i="16"/>
  <c r="AM10" i="16"/>
  <c r="AN10" i="16"/>
  <c r="AO10" i="16"/>
  <c r="AP10" i="16"/>
  <c r="AQ10" i="16"/>
  <c r="AR10" i="16"/>
  <c r="C9" i="16"/>
  <c r="D9" i="16"/>
  <c r="E9" i="16"/>
  <c r="F9" i="16"/>
  <c r="G9" i="16"/>
  <c r="H9" i="16"/>
  <c r="I9" i="16"/>
  <c r="J9" i="16"/>
  <c r="K9" i="16"/>
  <c r="L9" i="16"/>
  <c r="M9" i="16"/>
  <c r="N9" i="16"/>
  <c r="O9" i="16"/>
  <c r="P9" i="16"/>
  <c r="Q9" i="16"/>
  <c r="R9" i="16"/>
  <c r="S9" i="16"/>
  <c r="T9" i="16"/>
  <c r="U9" i="16"/>
  <c r="V9" i="16"/>
  <c r="W9" i="16"/>
  <c r="X9" i="16"/>
  <c r="Y9" i="16"/>
  <c r="Z9" i="16"/>
  <c r="AA9" i="16"/>
  <c r="AB9" i="16"/>
  <c r="AC9" i="16"/>
  <c r="AD9" i="16"/>
  <c r="AE9" i="16"/>
  <c r="AF9" i="16"/>
  <c r="AG9" i="16"/>
  <c r="AH9" i="16"/>
  <c r="AI9" i="16"/>
  <c r="AJ9" i="16"/>
  <c r="AK9" i="16"/>
  <c r="AL9" i="16"/>
  <c r="AM9" i="16"/>
  <c r="AN9" i="16"/>
  <c r="AO9" i="16"/>
  <c r="AP9" i="16"/>
  <c r="AQ9" i="16"/>
  <c r="AR9" i="16"/>
  <c r="B10" i="16"/>
  <c r="B9" i="16"/>
  <c r="CA46" i="17"/>
  <c r="CB46" i="17"/>
  <c r="CC46" i="17"/>
  <c r="CD46" i="17"/>
  <c r="CE46" i="17"/>
  <c r="CA47" i="17"/>
  <c r="CB47" i="17"/>
  <c r="CC47" i="17"/>
  <c r="CD47" i="17"/>
  <c r="CE47" i="17"/>
  <c r="CF47" i="17"/>
  <c r="CG47" i="17"/>
  <c r="CH47" i="17"/>
  <c r="CI47" i="17"/>
  <c r="CJ47" i="17"/>
  <c r="CK47" i="17"/>
  <c r="CL47" i="17"/>
  <c r="CM47" i="17"/>
  <c r="CN47" i="17"/>
  <c r="CO47" i="17"/>
  <c r="CP47" i="17"/>
  <c r="CQ47" i="17"/>
  <c r="CR47" i="17"/>
  <c r="CS47" i="17"/>
  <c r="CT47" i="17"/>
  <c r="CU47" i="17"/>
  <c r="CV47" i="17"/>
  <c r="CW47" i="17"/>
  <c r="CX47" i="17"/>
  <c r="BZ47" i="17"/>
  <c r="C8" i="16"/>
  <c r="D8" i="16"/>
  <c r="E8" i="16"/>
  <c r="F8" i="16"/>
  <c r="G8" i="16"/>
  <c r="H8" i="16"/>
  <c r="I8" i="16"/>
  <c r="J8" i="16"/>
  <c r="K8" i="16"/>
  <c r="L8" i="16"/>
  <c r="M8" i="16"/>
  <c r="N8" i="16"/>
  <c r="O8" i="16"/>
  <c r="P8" i="16"/>
  <c r="Q8" i="16"/>
  <c r="R8" i="16"/>
  <c r="S8" i="16"/>
  <c r="T8" i="16"/>
  <c r="U8" i="16"/>
  <c r="V8" i="16"/>
  <c r="W8" i="16"/>
  <c r="X8" i="16"/>
  <c r="Y8" i="16"/>
  <c r="Z8" i="16"/>
  <c r="AA8" i="16"/>
  <c r="AB8" i="16"/>
  <c r="AC8" i="16"/>
  <c r="AD8" i="16"/>
  <c r="AE8" i="16"/>
  <c r="AF8" i="16"/>
  <c r="AG8" i="16"/>
  <c r="AH8" i="16"/>
  <c r="AI8" i="16"/>
  <c r="AJ8" i="16"/>
  <c r="AK8" i="16"/>
  <c r="AL8" i="16"/>
  <c r="AM8" i="16"/>
  <c r="AN8" i="16"/>
  <c r="AO8" i="16"/>
  <c r="AP8" i="16"/>
  <c r="AQ8" i="16"/>
  <c r="AR8" i="16"/>
  <c r="B8" i="16"/>
  <c r="AP8" i="17"/>
  <c r="AP7" i="17"/>
  <c r="C37" i="23"/>
  <c r="B18" i="23"/>
  <c r="B19" i="23"/>
  <c r="B41" i="23" s="1"/>
  <c r="C15" i="23"/>
  <c r="C41" i="23"/>
  <c r="CF46" i="17"/>
  <c r="BZ46" i="17"/>
  <c r="B37" i="23"/>
  <c r="CG46" i="17"/>
  <c r="C3" i="28"/>
  <c r="D3" i="28"/>
  <c r="B3" i="28"/>
  <c r="C3" i="23"/>
  <c r="D3" i="23"/>
  <c r="B3" i="23"/>
  <c r="CH46" i="17"/>
  <c r="B19" i="1"/>
  <c r="C4" i="30"/>
  <c r="D4" i="30"/>
  <c r="B4" i="30"/>
  <c r="C4" i="28"/>
  <c r="D4" i="28"/>
  <c r="B4" i="28"/>
  <c r="C4" i="23"/>
  <c r="D4" i="23"/>
  <c r="B4" i="23"/>
  <c r="AB5" i="17"/>
  <c r="AB7" i="17"/>
  <c r="D47" i="17"/>
  <c r="E47" i="17"/>
  <c r="F47" i="17"/>
  <c r="G47" i="17"/>
  <c r="H47" i="17"/>
  <c r="I47" i="17"/>
  <c r="J47" i="17"/>
  <c r="K47" i="17"/>
  <c r="L47" i="17"/>
  <c r="M47" i="17"/>
  <c r="N47" i="17"/>
  <c r="O47" i="17"/>
  <c r="P47" i="17"/>
  <c r="Q47" i="17"/>
  <c r="R47" i="17"/>
  <c r="S47" i="17"/>
  <c r="T47" i="17"/>
  <c r="U47" i="17"/>
  <c r="V47" i="17"/>
  <c r="W47" i="17"/>
  <c r="X47" i="17"/>
  <c r="Y47" i="17"/>
  <c r="Z47" i="17"/>
  <c r="AA47" i="17"/>
  <c r="AB47" i="17"/>
  <c r="AC47" i="17"/>
  <c r="AD47" i="17"/>
  <c r="AE47" i="17"/>
  <c r="AF47" i="17"/>
  <c r="AG47" i="17"/>
  <c r="AH47" i="17"/>
  <c r="AI47" i="17"/>
  <c r="AJ47" i="17"/>
  <c r="AK47" i="17"/>
  <c r="AL47" i="17"/>
  <c r="AM47" i="17"/>
  <c r="AN47" i="17"/>
  <c r="AO47" i="17"/>
  <c r="AP47" i="17"/>
  <c r="AQ47" i="17"/>
  <c r="AR47" i="17"/>
  <c r="AS47" i="17"/>
  <c r="AT47" i="17"/>
  <c r="AU47" i="17"/>
  <c r="AV47" i="17"/>
  <c r="AW47" i="17"/>
  <c r="AX47" i="17"/>
  <c r="AY47" i="17"/>
  <c r="AZ47" i="17"/>
  <c r="BA47" i="17"/>
  <c r="BB47" i="17"/>
  <c r="BC47" i="17"/>
  <c r="BD47" i="17"/>
  <c r="BE47" i="17"/>
  <c r="BF47" i="17"/>
  <c r="BG47" i="17"/>
  <c r="BH47" i="17"/>
  <c r="BI47" i="17"/>
  <c r="BJ47" i="17"/>
  <c r="BK47" i="17"/>
  <c r="BL47" i="17"/>
  <c r="BM47" i="17"/>
  <c r="BN47" i="17"/>
  <c r="BO47" i="17"/>
  <c r="BP47" i="17"/>
  <c r="BQ47" i="17"/>
  <c r="BR47" i="17"/>
  <c r="BS47" i="17"/>
  <c r="BT47" i="17"/>
  <c r="BU47" i="17"/>
  <c r="BV47" i="17"/>
  <c r="BW47" i="17"/>
  <c r="BX47" i="17"/>
  <c r="BY47" i="17"/>
  <c r="C47" i="17"/>
  <c r="N5" i="17"/>
  <c r="S5" i="17"/>
  <c r="B26" i="23"/>
  <c r="B38" i="23"/>
  <c r="B28" i="28"/>
  <c r="B40" i="28" s="1"/>
  <c r="B28" i="30"/>
  <c r="B40" i="30" s="1"/>
  <c r="C28" i="28"/>
  <c r="C40" i="28"/>
  <c r="C28" i="30"/>
  <c r="C40" i="30" s="1"/>
  <c r="B41" i="1"/>
  <c r="CI46" i="17"/>
  <c r="D15" i="23"/>
  <c r="D19" i="23"/>
  <c r="C45" i="30"/>
  <c r="D45" i="30"/>
  <c r="D9" i="30"/>
  <c r="C9" i="30"/>
  <c r="B9" i="30"/>
  <c r="D41" i="23"/>
  <c r="CJ46" i="17"/>
  <c r="D9" i="28"/>
  <c r="C9" i="28"/>
  <c r="B9" i="28"/>
  <c r="AS3" i="16"/>
  <c r="CK46" i="17"/>
  <c r="B9" i="23"/>
  <c r="K6" i="24"/>
  <c r="D5" i="24"/>
  <c r="D6" i="24"/>
  <c r="E5" i="24"/>
  <c r="E6" i="24"/>
  <c r="F5" i="24"/>
  <c r="F6" i="24"/>
  <c r="G5" i="24"/>
  <c r="G6" i="24"/>
  <c r="H5" i="24"/>
  <c r="H6" i="24"/>
  <c r="I5" i="24"/>
  <c r="I6" i="24"/>
  <c r="J5" i="24"/>
  <c r="J6" i="24"/>
  <c r="K5" i="24"/>
  <c r="L5" i="24"/>
  <c r="L6" i="24"/>
  <c r="M5" i="24"/>
  <c r="M6" i="24"/>
  <c r="N5" i="24"/>
  <c r="N6" i="24"/>
  <c r="O5" i="24"/>
  <c r="O6" i="24"/>
  <c r="P5" i="24"/>
  <c r="P6" i="24"/>
  <c r="Q5" i="24"/>
  <c r="Q6" i="24"/>
  <c r="R5" i="24"/>
  <c r="R6" i="24"/>
  <c r="S5" i="24"/>
  <c r="S6" i="24"/>
  <c r="T5" i="24"/>
  <c r="T6" i="24"/>
  <c r="U5" i="24"/>
  <c r="U6" i="24"/>
  <c r="V5" i="24"/>
  <c r="V6" i="24"/>
  <c r="W5" i="24"/>
  <c r="W6" i="24"/>
  <c r="X5" i="24"/>
  <c r="X6" i="24"/>
  <c r="Y5" i="24"/>
  <c r="Y6" i="24"/>
  <c r="Z5" i="24"/>
  <c r="Z6" i="24"/>
  <c r="AA5" i="24"/>
  <c r="AA6" i="24"/>
  <c r="AB5" i="24"/>
  <c r="AB6" i="24"/>
  <c r="AC5" i="24"/>
  <c r="AC6" i="24"/>
  <c r="C5" i="24"/>
  <c r="C6" i="24"/>
  <c r="AS2" i="16"/>
  <c r="AT2" i="16"/>
  <c r="AU2" i="16"/>
  <c r="AV2" i="16"/>
  <c r="AW2" i="16"/>
  <c r="AX2" i="16"/>
  <c r="AY2" i="16"/>
  <c r="AZ2" i="16"/>
  <c r="BA2" i="16"/>
  <c r="BB2" i="16"/>
  <c r="BC2" i="16"/>
  <c r="BD2" i="16"/>
  <c r="BE2" i="16"/>
  <c r="BF2" i="16"/>
  <c r="BG2" i="16"/>
  <c r="BH2" i="16"/>
  <c r="BI2" i="16"/>
  <c r="BJ2" i="16"/>
  <c r="CL46" i="17"/>
  <c r="BK2" i="16"/>
  <c r="BL2" i="16"/>
  <c r="BM2" i="16"/>
  <c r="BN2" i="16"/>
  <c r="BO2" i="16"/>
  <c r="BP2" i="16"/>
  <c r="BQ2" i="16"/>
  <c r="BR2" i="16"/>
  <c r="BS2" i="16"/>
  <c r="BT2" i="16"/>
  <c r="BU2" i="16"/>
  <c r="BV2" i="16"/>
  <c r="BW2" i="16"/>
  <c r="BX2" i="16"/>
  <c r="BY2" i="16"/>
  <c r="BZ2" i="16"/>
  <c r="CA2" i="16"/>
  <c r="CB2" i="16"/>
  <c r="CC2" i="16"/>
  <c r="CD2" i="16"/>
  <c r="CM46" i="17"/>
  <c r="C26" i="23"/>
  <c r="C38" i="23" s="1"/>
  <c r="D24" i="23"/>
  <c r="D9" i="23"/>
  <c r="C9" i="23"/>
  <c r="CN46" i="17"/>
  <c r="CO46" i="17"/>
  <c r="C9" i="1"/>
  <c r="D9" i="1"/>
  <c r="CP46" i="17"/>
  <c r="D5" i="17"/>
  <c r="E5" i="17"/>
  <c r="F5" i="17"/>
  <c r="G5" i="17"/>
  <c r="H5" i="17"/>
  <c r="I5" i="17"/>
  <c r="J5" i="17"/>
  <c r="K5" i="17"/>
  <c r="L5" i="17"/>
  <c r="M5" i="17"/>
  <c r="O5" i="17"/>
  <c r="P5" i="17"/>
  <c r="Q5" i="17"/>
  <c r="R5" i="17"/>
  <c r="T5" i="17"/>
  <c r="U5" i="17"/>
  <c r="V5" i="17"/>
  <c r="W5" i="17"/>
  <c r="X5" i="17"/>
  <c r="Y5" i="17"/>
  <c r="AN5" i="17"/>
  <c r="Z5" i="17"/>
  <c r="Z7" i="17"/>
  <c r="AA5" i="17"/>
  <c r="AA7" i="17"/>
  <c r="AC5" i="17"/>
  <c r="AC7" i="17"/>
  <c r="AD5" i="17"/>
  <c r="AD7" i="17"/>
  <c r="AE5" i="17"/>
  <c r="AE7" i="17"/>
  <c r="AF5" i="17"/>
  <c r="AF7" i="17"/>
  <c r="AG5" i="17"/>
  <c r="AG7" i="17"/>
  <c r="AH5" i="17"/>
  <c r="AH7" i="17"/>
  <c r="AI5" i="17"/>
  <c r="AI7" i="17"/>
  <c r="AJ5" i="17"/>
  <c r="AJ7" i="17"/>
  <c r="AK5" i="17"/>
  <c r="AK7" i="17"/>
  <c r="C5" i="17"/>
  <c r="AT3" i="16"/>
  <c r="AU3" i="16"/>
  <c r="AV3" i="16"/>
  <c r="AW3" i="16"/>
  <c r="AX3" i="16"/>
  <c r="AY3" i="16"/>
  <c r="AZ3" i="16"/>
  <c r="BA3" i="16"/>
  <c r="BB3" i="16"/>
  <c r="BC3" i="16"/>
  <c r="BD3" i="16"/>
  <c r="BE3" i="16"/>
  <c r="BF3" i="16"/>
  <c r="BG3" i="16"/>
  <c r="BH3" i="16"/>
  <c r="BI3" i="16"/>
  <c r="BJ3" i="16"/>
  <c r="D20" i="1"/>
  <c r="C56" i="12"/>
  <c r="E56" i="12"/>
  <c r="F56" i="12"/>
  <c r="C57" i="12"/>
  <c r="E57" i="12"/>
  <c r="F57" i="12"/>
  <c r="C58" i="12"/>
  <c r="E58" i="12"/>
  <c r="F58" i="12"/>
  <c r="C59" i="12"/>
  <c r="E59" i="12"/>
  <c r="F59" i="12"/>
  <c r="C60" i="12"/>
  <c r="E60" i="12"/>
  <c r="F60" i="12"/>
  <c r="C55" i="12"/>
  <c r="E55" i="12"/>
  <c r="F55" i="12"/>
  <c r="D50" i="12"/>
  <c r="D59" i="12"/>
  <c r="B49" i="12"/>
  <c r="B58" i="12"/>
  <c r="G58" i="12"/>
  <c r="C41" i="12"/>
  <c r="D41" i="12"/>
  <c r="D51" i="12"/>
  <c r="D60" i="12"/>
  <c r="E41" i="12"/>
  <c r="F41" i="12"/>
  <c r="G41" i="12"/>
  <c r="B41" i="12"/>
  <c r="B51" i="12"/>
  <c r="B60" i="12"/>
  <c r="G60" i="12"/>
  <c r="B37" i="12"/>
  <c r="B47" i="12"/>
  <c r="B56" i="12"/>
  <c r="G56" i="12"/>
  <c r="C37" i="12"/>
  <c r="D37" i="12"/>
  <c r="D47" i="12"/>
  <c r="D56" i="12"/>
  <c r="E37" i="12"/>
  <c r="F37" i="12"/>
  <c r="G37" i="12"/>
  <c r="B38" i="12"/>
  <c r="B48" i="12"/>
  <c r="B57" i="12"/>
  <c r="C38" i="12"/>
  <c r="D38" i="12"/>
  <c r="D48" i="12"/>
  <c r="D57" i="12"/>
  <c r="E38" i="12"/>
  <c r="F38" i="12"/>
  <c r="G38" i="12"/>
  <c r="B39" i="12"/>
  <c r="C39" i="12"/>
  <c r="D39" i="12"/>
  <c r="D49" i="12"/>
  <c r="D58" i="12"/>
  <c r="E39" i="12"/>
  <c r="F39" i="12"/>
  <c r="G39" i="12"/>
  <c r="B40" i="12"/>
  <c r="B50" i="12"/>
  <c r="B59" i="12"/>
  <c r="C40" i="12"/>
  <c r="D40" i="12"/>
  <c r="E40" i="12"/>
  <c r="F40" i="12"/>
  <c r="G40" i="12"/>
  <c r="C36" i="12"/>
  <c r="D36" i="12"/>
  <c r="D46" i="12"/>
  <c r="D55" i="12"/>
  <c r="E36" i="12"/>
  <c r="F36" i="12"/>
  <c r="G36" i="12"/>
  <c r="B36" i="12"/>
  <c r="B46" i="12"/>
  <c r="B55" i="12"/>
  <c r="G55" i="12"/>
  <c r="C26" i="1"/>
  <c r="C3" i="34" s="1"/>
  <c r="C27" i="1"/>
  <c r="C31" i="1" s="1"/>
  <c r="G5" i="10"/>
  <c r="J5" i="10"/>
  <c r="G9" i="10"/>
  <c r="E9" i="10"/>
  <c r="I9" i="10"/>
  <c r="G12" i="10"/>
  <c r="E12" i="10"/>
  <c r="I12" i="10"/>
  <c r="D26" i="1"/>
  <c r="D28" i="28" s="1"/>
  <c r="D40" i="28" s="1"/>
  <c r="G13" i="10"/>
  <c r="J9" i="10"/>
  <c r="J12" i="10"/>
  <c r="D26" i="28"/>
  <c r="D26" i="30"/>
  <c r="D22" i="30"/>
  <c r="CQ46" i="17"/>
  <c r="C20" i="23"/>
  <c r="C20" i="1"/>
  <c r="B20" i="23"/>
  <c r="B20" i="1"/>
  <c r="G59" i="12"/>
  <c r="G57" i="12"/>
  <c r="BH5" i="17"/>
  <c r="AZ5" i="17"/>
  <c r="AQ5" i="17"/>
  <c r="BG5" i="17"/>
  <c r="AU5" i="17"/>
  <c r="BI5" i="17"/>
  <c r="BE5" i="17"/>
  <c r="BA5" i="17"/>
  <c r="AW5" i="17"/>
  <c r="AS5" i="17"/>
  <c r="BD5" i="17"/>
  <c r="AV5" i="17"/>
  <c r="AM5" i="17"/>
  <c r="BC5" i="17"/>
  <c r="AY5" i="17"/>
  <c r="AP5" i="17"/>
  <c r="AR5" i="17"/>
  <c r="AL5" i="17"/>
  <c r="AL4" i="17"/>
  <c r="Y7" i="17"/>
  <c r="AK8" i="17"/>
  <c r="AK9" i="17"/>
  <c r="BJ5" i="17"/>
  <c r="BF5" i="17"/>
  <c r="BB5" i="17"/>
  <c r="AX5" i="17"/>
  <c r="AT5" i="17"/>
  <c r="AO5" i="17"/>
  <c r="BK3" i="16"/>
  <c r="BL3" i="16"/>
  <c r="BM3" i="16"/>
  <c r="BN3" i="16"/>
  <c r="BO3" i="16"/>
  <c r="BP3" i="16"/>
  <c r="BQ3" i="16"/>
  <c r="BR3" i="16"/>
  <c r="BS3" i="16"/>
  <c r="BT3" i="16"/>
  <c r="BU3" i="16"/>
  <c r="BV3" i="16"/>
  <c r="BW3" i="16"/>
  <c r="BX3" i="16"/>
  <c r="BY3" i="16"/>
  <c r="BZ3" i="16"/>
  <c r="CA3" i="16"/>
  <c r="CB3" i="16"/>
  <c r="CC3" i="16"/>
  <c r="CD3" i="16"/>
  <c r="J15" i="10"/>
  <c r="J16" i="10"/>
  <c r="J17" i="10"/>
  <c r="D21" i="23"/>
  <c r="D21" i="1"/>
  <c r="B21" i="1"/>
  <c r="B22" i="30"/>
  <c r="C22" i="30"/>
  <c r="CR46" i="17"/>
  <c r="AM4" i="17"/>
  <c r="C21" i="1"/>
  <c r="C23" i="30"/>
  <c r="C42" i="30"/>
  <c r="D23" i="30"/>
  <c r="B23" i="30"/>
  <c r="B21" i="23"/>
  <c r="C21" i="23"/>
  <c r="D40" i="23"/>
  <c r="B23" i="28"/>
  <c r="C23" i="28"/>
  <c r="D23" i="28"/>
  <c r="B40" i="1"/>
  <c r="D40" i="1"/>
  <c r="C40" i="1"/>
  <c r="CS46" i="17"/>
  <c r="AN4" i="17"/>
  <c r="B42" i="30"/>
  <c r="D42" i="30"/>
  <c r="B42" i="28"/>
  <c r="C42" i="28"/>
  <c r="D42" i="28"/>
  <c r="B40" i="23"/>
  <c r="C40" i="23"/>
  <c r="CT46" i="17"/>
  <c r="AO4" i="17"/>
  <c r="CU46" i="17"/>
  <c r="AP4" i="17"/>
  <c r="CV46" i="17"/>
  <c r="AQ4" i="17"/>
  <c r="CW46" i="17"/>
  <c r="AR4" i="17"/>
  <c r="CX46" i="17"/>
  <c r="AS4" i="17"/>
  <c r="AT4" i="17"/>
  <c r="AU4" i="17"/>
  <c r="AV4" i="17"/>
  <c r="AW4" i="17"/>
  <c r="AX4" i="17"/>
  <c r="AY4" i="17"/>
  <c r="AZ4" i="17"/>
  <c r="BA4" i="17"/>
  <c r="BB4" i="17"/>
  <c r="BC4" i="17"/>
  <c r="BD4" i="17"/>
  <c r="BE4" i="17"/>
  <c r="BF4" i="17"/>
  <c r="BG4" i="17"/>
  <c r="BH4" i="17"/>
  <c r="BI4" i="17"/>
  <c r="BJ4" i="17"/>
  <c r="BJ7" i="17"/>
  <c r="R10" i="24"/>
  <c r="AD6" i="24"/>
  <c r="R12" i="24"/>
  <c r="S12" i="24"/>
  <c r="AE6" i="24"/>
  <c r="AF6" i="24"/>
  <c r="AG6" i="24"/>
  <c r="AH6" i="24"/>
  <c r="AI6" i="24"/>
  <c r="AJ6" i="24"/>
  <c r="AK6" i="24"/>
  <c r="AL6" i="24"/>
  <c r="AM6" i="24"/>
  <c r="AN6" i="24"/>
  <c r="AO6" i="24"/>
  <c r="AP6" i="24"/>
  <c r="AQ6" i="24"/>
  <c r="AR6" i="24"/>
  <c r="AS6" i="24"/>
  <c r="AT6" i="24"/>
  <c r="AU6" i="24"/>
  <c r="AV6" i="24"/>
  <c r="AW6" i="24"/>
  <c r="AX6" i="24"/>
  <c r="R13" i="24"/>
  <c r="S13" i="24"/>
  <c r="AY6" i="24"/>
  <c r="AZ6" i="24"/>
  <c r="BA6" i="24"/>
  <c r="BB6" i="24"/>
  <c r="BC6" i="24"/>
  <c r="BD6" i="24"/>
  <c r="BE6" i="24"/>
  <c r="BF6" i="24"/>
  <c r="BG6" i="24"/>
  <c r="BH6" i="24"/>
  <c r="BI6" i="24"/>
  <c r="BJ6" i="24"/>
  <c r="BK6" i="24"/>
  <c r="BL6" i="24"/>
  <c r="BM6" i="24"/>
  <c r="BN6" i="24"/>
  <c r="BO6" i="24"/>
  <c r="BP6" i="24"/>
  <c r="BQ6" i="24"/>
  <c r="BR6" i="24"/>
  <c r="R14" i="24"/>
  <c r="S14" i="24"/>
  <c r="C25" i="23"/>
  <c r="B25" i="23"/>
  <c r="B27" i="23"/>
  <c r="C27" i="23"/>
  <c r="C39" i="23" s="1"/>
  <c r="D27" i="30"/>
  <c r="D25" i="23"/>
  <c r="D27" i="23"/>
  <c r="D39" i="23" s="1"/>
  <c r="O26" i="37"/>
  <c r="T26" i="37"/>
  <c r="T63" i="37"/>
  <c r="O63" i="37"/>
  <c r="D26" i="23" l="1"/>
  <c r="D38" i="23" s="1"/>
  <c r="C38" i="1"/>
  <c r="B4" i="34"/>
  <c r="B31" i="1"/>
  <c r="D40" i="30"/>
  <c r="C39" i="1"/>
  <c r="B3" i="34"/>
  <c r="D13" i="34" s="1"/>
  <c r="D4" i="34"/>
  <c r="C4" i="34"/>
  <c r="D3" i="34"/>
  <c r="B39" i="23"/>
  <c r="C10" i="7"/>
  <c r="D10" i="7"/>
  <c r="D31" i="1"/>
  <c r="D38" i="1"/>
  <c r="B38" i="1"/>
  <c r="C15" i="15"/>
  <c r="D7" i="15"/>
  <c r="C21" i="15" s="1"/>
  <c r="C7" i="15"/>
  <c r="C20" i="15" s="1"/>
  <c r="B7" i="15"/>
  <c r="C19" i="15" s="1"/>
  <c r="B33" i="15"/>
  <c r="B34" i="15" s="1"/>
  <c r="D15" i="15"/>
  <c r="B13" i="15"/>
  <c r="C14" i="15"/>
  <c r="C25" i="15" s="1"/>
  <c r="B21" i="15"/>
  <c r="B26" i="15" s="1"/>
  <c r="D8" i="15"/>
  <c r="D11" i="34" l="1"/>
  <c r="C11" i="34"/>
  <c r="B11" i="34"/>
  <c r="D31" i="28"/>
  <c r="D44" i="28" s="1"/>
  <c r="C31" i="28"/>
  <c r="C44" i="28" s="1"/>
  <c r="B31" i="28"/>
  <c r="B44" i="28" s="1"/>
  <c r="B29" i="28"/>
  <c r="B41" i="28" s="1"/>
  <c r="D29" i="28"/>
  <c r="D41" i="28" s="1"/>
  <c r="C18" i="28"/>
  <c r="C20" i="28" s="1"/>
  <c r="C21" i="28" s="1"/>
  <c r="D18" i="28"/>
  <c r="D21" i="28" s="1"/>
  <c r="B18" i="28"/>
  <c r="B20" i="28" s="1"/>
  <c r="B21" i="28" s="1"/>
  <c r="C29" i="28"/>
  <c r="C41" i="28" s="1"/>
  <c r="D44" i="30"/>
  <c r="B18" i="30"/>
  <c r="B20" i="30" s="1"/>
  <c r="B21" i="30" s="1"/>
  <c r="B43" i="30" s="1"/>
  <c r="C29" i="30"/>
  <c r="C41" i="30" s="1"/>
  <c r="D29" i="30"/>
  <c r="D41" i="30" s="1"/>
  <c r="B44" i="30"/>
  <c r="C18" i="30"/>
  <c r="C20" i="30" s="1"/>
  <c r="C21" i="30" s="1"/>
  <c r="C44" i="30"/>
  <c r="D18" i="30"/>
  <c r="D21" i="30" s="1"/>
  <c r="B29" i="30"/>
  <c r="B41" i="30" s="1"/>
  <c r="B15" i="15"/>
  <c r="B14" i="15"/>
  <c r="C24" i="15" s="1"/>
  <c r="B24" i="28"/>
  <c r="B45" i="28" s="1"/>
  <c r="B22" i="23"/>
  <c r="D22" i="23"/>
  <c r="D24" i="28"/>
  <c r="D45" i="28" s="1"/>
  <c r="B6" i="34" l="1"/>
  <c r="B13" i="34" s="1"/>
  <c r="B43" i="28"/>
  <c r="B5" i="34"/>
  <c r="B12" i="34" s="1"/>
  <c r="C6" i="34"/>
  <c r="C13" i="34" s="1"/>
  <c r="C43" i="30"/>
  <c r="D43" i="28"/>
  <c r="D5" i="34"/>
  <c r="D12" i="34" s="1"/>
  <c r="C5" i="34"/>
  <c r="C12" i="34" s="1"/>
  <c r="C43" i="28"/>
  <c r="D43" i="30"/>
  <c r="D43" i="23"/>
  <c r="C22" i="23"/>
  <c r="D31" i="23"/>
  <c r="B43" i="23"/>
  <c r="B31" i="23"/>
  <c r="D32" i="30" l="1"/>
  <c r="B32" i="30"/>
  <c r="C32" i="30"/>
  <c r="B32" i="28"/>
  <c r="D32" i="28"/>
  <c r="C32" i="28"/>
  <c r="C43" i="23"/>
  <c r="C31" i="23"/>
  <c r="C38" i="28" l="1"/>
  <c r="C33" i="28"/>
  <c r="F42" i="28" s="1"/>
  <c r="B38" i="30"/>
  <c r="B33" i="30"/>
  <c r="B46" i="30" s="1"/>
  <c r="D38" i="28"/>
  <c r="D33" i="28"/>
  <c r="D33" i="30"/>
  <c r="D46" i="30" s="1"/>
  <c r="D38" i="30"/>
  <c r="B38" i="28"/>
  <c r="B33" i="28"/>
  <c r="C38" i="30"/>
  <c r="C33" i="30"/>
  <c r="C46" i="30" s="1"/>
</calcChain>
</file>

<file path=xl/comments1.xml><?xml version="1.0" encoding="utf-8"?>
<comments xmlns="http://schemas.openxmlformats.org/spreadsheetml/2006/main">
  <authors>
    <author>Lisa Bolin</author>
    <author>Jörgen Larsson</author>
  </authors>
  <commentList>
    <comment ref="C4" authorId="0">
      <text>
        <r>
          <rPr>
            <b/>
            <sz val="9"/>
            <color indexed="81"/>
            <rFont val="Tahoma"/>
            <family val="2"/>
          </rPr>
          <t>Lisa Bolin:</t>
        </r>
        <r>
          <rPr>
            <sz val="9"/>
            <color indexed="81"/>
            <rFont val="Tahoma"/>
            <family val="2"/>
          </rPr>
          <t xml:space="preserve">
http://www.scb.se/Statistik/BO/BO0406/2010A01/BO0406_2010A01_SM_BO39SM1101.pdf
s. 34
Genomsnittlig yta för tvåa i sverige 2011</t>
        </r>
      </text>
    </comment>
    <comment ref="D7" authorId="1">
      <text>
        <r>
          <rPr>
            <b/>
            <sz val="9"/>
            <color indexed="81"/>
            <rFont val="Tahoma"/>
            <family val="2"/>
          </rPr>
          <t>Jörgen Larsson:</t>
        </r>
        <r>
          <rPr>
            <sz val="9"/>
            <color indexed="81"/>
            <rFont val="Tahoma"/>
            <family val="2"/>
          </rPr>
          <t xml:space="preserve">
Baserat på statistik från scb för Göteborgs kommun. </t>
        </r>
      </text>
    </comment>
    <comment ref="A8" authorId="1">
      <text>
        <r>
          <rPr>
            <b/>
            <sz val="9"/>
            <color indexed="81"/>
            <rFont val="Tahoma"/>
            <family val="2"/>
          </rPr>
          <t>Jörgen Larsson:</t>
        </r>
        <r>
          <rPr>
            <sz val="9"/>
            <color indexed="81"/>
            <rFont val="Tahoma"/>
            <family val="2"/>
          </rPr>
          <t xml:space="preserve">
Vuxen =1, barn=0,5</t>
        </r>
      </text>
    </comment>
    <comment ref="D8" authorId="1">
      <text>
        <r>
          <rPr>
            <b/>
            <sz val="9"/>
            <color indexed="81"/>
            <rFont val="Tahoma"/>
            <family val="2"/>
          </rPr>
          <t>Jörgen Larsson:</t>
        </r>
        <r>
          <rPr>
            <sz val="9"/>
            <color indexed="81"/>
            <rFont val="Tahoma"/>
            <family val="2"/>
          </rPr>
          <t xml:space="preserve">
Snitthushållet består av 1,34 vuxna och 0,36 barn. Medelhushållet i Göteborg består av 1,34 vuxna och 0,36 barn. 1,34 + (0,36/2)= 1,52</t>
        </r>
      </text>
    </comment>
    <comment ref="D12" authorId="1">
      <text>
        <r>
          <rPr>
            <b/>
            <sz val="9"/>
            <color indexed="81"/>
            <rFont val="Tahoma"/>
            <family val="2"/>
          </rPr>
          <t>Jörgen Larsson:</t>
        </r>
        <r>
          <rPr>
            <sz val="9"/>
            <color indexed="81"/>
            <rFont val="Tahoma"/>
            <family val="2"/>
          </rPr>
          <t xml:space="preserve">
Denna siffra avser per person, inte per hushålls som övriga siffror på raden</t>
        </r>
      </text>
    </comment>
    <comment ref="A24" authorId="0">
      <text>
        <r>
          <rPr>
            <b/>
            <sz val="9"/>
            <color indexed="81"/>
            <rFont val="Tahoma"/>
            <family val="2"/>
          </rPr>
          <t>Lisa Bolin:</t>
        </r>
        <r>
          <rPr>
            <sz val="9"/>
            <color indexed="81"/>
            <rFont val="Tahoma"/>
            <family val="2"/>
          </rPr>
          <t xml:space="preserve">
slutlig användning</t>
        </r>
      </text>
    </comment>
    <comment ref="A25" authorId="0">
      <text>
        <r>
          <rPr>
            <b/>
            <sz val="9"/>
            <color indexed="81"/>
            <rFont val="Tahoma"/>
            <family val="2"/>
          </rPr>
          <t>Lisa Bolin:</t>
        </r>
        <r>
          <rPr>
            <sz val="9"/>
            <color indexed="81"/>
            <rFont val="Tahoma"/>
            <family val="2"/>
          </rPr>
          <t xml:space="preserve">
Från:
"End-use metering campaign in 400 households
In Sweden"
Endast "specifik elanvändning", dvs alla laster utom värme och varmvatten.</t>
        </r>
      </text>
    </comment>
    <comment ref="D25" authorId="0">
      <text>
        <r>
          <rPr>
            <b/>
            <sz val="9"/>
            <color indexed="81"/>
            <rFont val="Tahoma"/>
            <family val="2"/>
          </rPr>
          <t>Lisa Bolin:</t>
        </r>
        <r>
          <rPr>
            <sz val="9"/>
            <color indexed="81"/>
            <rFont val="Tahoma"/>
            <family val="2"/>
          </rPr>
          <t xml:space="preserve">
Energimyndighetens siffra för totalt använd el inom bostäder i gbg kommun delat på befolkning samma år, 2010</t>
        </r>
      </text>
    </comment>
    <comment ref="D26" authorId="0">
      <text>
        <r>
          <rPr>
            <b/>
            <sz val="9"/>
            <color indexed="81"/>
            <rFont val="Tahoma"/>
            <family val="2"/>
          </rPr>
          <t>Lisa Bolin:</t>
        </r>
        <r>
          <rPr>
            <sz val="9"/>
            <color indexed="81"/>
            <rFont val="Tahoma"/>
            <family val="2"/>
          </rPr>
          <t xml:space="preserve">
Utsläpp från uppvärmning i gbg, SCB delat på befolkningen</t>
        </r>
      </text>
    </comment>
  </commentList>
</comments>
</file>

<file path=xl/comments2.xml><?xml version="1.0" encoding="utf-8"?>
<comments xmlns="http://schemas.openxmlformats.org/spreadsheetml/2006/main">
  <authors>
    <author>Jörgen Larsson</author>
    <author>Lisa Bolin</author>
  </authors>
  <commentList>
    <comment ref="D7" authorId="0">
      <text>
        <r>
          <rPr>
            <b/>
            <sz val="9"/>
            <color indexed="81"/>
            <rFont val="Tahoma"/>
            <family val="2"/>
          </rPr>
          <t>Jörgen Larsson:</t>
        </r>
        <r>
          <rPr>
            <sz val="9"/>
            <color indexed="81"/>
            <rFont val="Tahoma"/>
            <family val="2"/>
          </rPr>
          <t xml:space="preserve">
Baserat på statistik från scb för Göteborgs kommun. </t>
        </r>
      </text>
    </comment>
    <comment ref="A8" authorId="0">
      <text>
        <r>
          <rPr>
            <b/>
            <sz val="9"/>
            <color indexed="81"/>
            <rFont val="Tahoma"/>
            <family val="2"/>
          </rPr>
          <t>Jörgen Larsson:</t>
        </r>
        <r>
          <rPr>
            <sz val="9"/>
            <color indexed="81"/>
            <rFont val="Tahoma"/>
            <family val="2"/>
          </rPr>
          <t xml:space="preserve">
Vuxen =1, barn=0,5</t>
        </r>
      </text>
    </comment>
    <comment ref="D8" authorId="0">
      <text>
        <r>
          <rPr>
            <b/>
            <sz val="9"/>
            <color indexed="81"/>
            <rFont val="Tahoma"/>
            <family val="2"/>
          </rPr>
          <t>Jörgen Larsson:</t>
        </r>
        <r>
          <rPr>
            <sz val="9"/>
            <color indexed="81"/>
            <rFont val="Tahoma"/>
            <family val="2"/>
          </rPr>
          <t xml:space="preserve">
Snitthushållet består av 1,34 vuxna och 0,36 barn. Medelhushållet i Göteborg består av 1,34 vuxna och 0,36 barn. 1,34 + (0,36/2)= 1,52</t>
        </r>
      </text>
    </comment>
    <comment ref="D12" authorId="0">
      <text>
        <r>
          <rPr>
            <b/>
            <sz val="9"/>
            <color indexed="81"/>
            <rFont val="Tahoma"/>
            <family val="2"/>
          </rPr>
          <t>Jörgen Larsson:</t>
        </r>
        <r>
          <rPr>
            <sz val="9"/>
            <color indexed="81"/>
            <rFont val="Tahoma"/>
            <family val="2"/>
          </rPr>
          <t xml:space="preserve">
Denna siffra avser per person, inte per hushålls som övriga siffror på raden</t>
        </r>
      </text>
    </comment>
    <comment ref="A24" authorId="1">
      <text>
        <r>
          <rPr>
            <b/>
            <sz val="9"/>
            <color indexed="81"/>
            <rFont val="Tahoma"/>
            <family val="2"/>
          </rPr>
          <t>Lisa Bolin:</t>
        </r>
        <r>
          <rPr>
            <sz val="9"/>
            <color indexed="81"/>
            <rFont val="Tahoma"/>
            <family val="2"/>
          </rPr>
          <t xml:space="preserve">
slutlig användning</t>
        </r>
      </text>
    </comment>
    <comment ref="A25" authorId="1">
      <text>
        <r>
          <rPr>
            <b/>
            <sz val="9"/>
            <color indexed="81"/>
            <rFont val="Tahoma"/>
            <family val="2"/>
          </rPr>
          <t>Lisa Bolin:</t>
        </r>
        <r>
          <rPr>
            <sz val="9"/>
            <color indexed="81"/>
            <rFont val="Tahoma"/>
            <family val="2"/>
          </rPr>
          <t xml:space="preserve">
Från:
"End-use metering campaign in 400 households
In Sweden"
Endast "specifik elanvändning", dvs alla laster utom värme och varmvatten.</t>
        </r>
      </text>
    </comment>
    <comment ref="D25" authorId="1">
      <text>
        <r>
          <rPr>
            <b/>
            <sz val="9"/>
            <color indexed="81"/>
            <rFont val="Tahoma"/>
            <family val="2"/>
          </rPr>
          <t>Lisa Bolin:</t>
        </r>
        <r>
          <rPr>
            <sz val="9"/>
            <color indexed="81"/>
            <rFont val="Tahoma"/>
            <family val="2"/>
          </rPr>
          <t xml:space="preserve">
Energimyndighetens siffra för totalt använd el inom bostäder i gbg kommun delat på befolkning samma år, 2010</t>
        </r>
      </text>
    </comment>
    <comment ref="D26" authorId="1">
      <text>
        <r>
          <rPr>
            <b/>
            <sz val="9"/>
            <color indexed="81"/>
            <rFont val="Tahoma"/>
            <family val="2"/>
          </rPr>
          <t>Lisa Bolin:</t>
        </r>
        <r>
          <rPr>
            <sz val="9"/>
            <color indexed="81"/>
            <rFont val="Tahoma"/>
            <family val="2"/>
          </rPr>
          <t xml:space="preserve">
Utsläpp från uppvärmning i gbg, SCB delat på befolkningen</t>
        </r>
      </text>
    </comment>
  </commentList>
</comments>
</file>

<file path=xl/comments3.xml><?xml version="1.0" encoding="utf-8"?>
<comments xmlns="http://schemas.openxmlformats.org/spreadsheetml/2006/main">
  <authors>
    <author>Jörgen Larsson</author>
    <author>Lisa Bolin</author>
  </authors>
  <commentList>
    <comment ref="D7" authorId="0">
      <text>
        <r>
          <rPr>
            <b/>
            <sz val="9"/>
            <color indexed="81"/>
            <rFont val="Tahoma"/>
            <family val="2"/>
          </rPr>
          <t>Jörgen Larsson:</t>
        </r>
        <r>
          <rPr>
            <sz val="9"/>
            <color indexed="81"/>
            <rFont val="Tahoma"/>
            <family val="2"/>
          </rPr>
          <t xml:space="preserve">
Baserat på statistik från scb för Göteborgs kommun. </t>
        </r>
      </text>
    </comment>
    <comment ref="A8" authorId="0">
      <text>
        <r>
          <rPr>
            <b/>
            <sz val="9"/>
            <color indexed="81"/>
            <rFont val="Tahoma"/>
            <family val="2"/>
          </rPr>
          <t>Jörgen Larsson:</t>
        </r>
        <r>
          <rPr>
            <sz val="9"/>
            <color indexed="81"/>
            <rFont val="Tahoma"/>
            <family val="2"/>
          </rPr>
          <t xml:space="preserve">
Vuxen =1, barn=0,5</t>
        </r>
      </text>
    </comment>
    <comment ref="D8" authorId="0">
      <text>
        <r>
          <rPr>
            <b/>
            <sz val="9"/>
            <color indexed="81"/>
            <rFont val="Tahoma"/>
            <family val="2"/>
          </rPr>
          <t>Jörgen Larsson:</t>
        </r>
        <r>
          <rPr>
            <sz val="9"/>
            <color indexed="81"/>
            <rFont val="Tahoma"/>
            <family val="2"/>
          </rPr>
          <t xml:space="preserve">
Snitthushållet består av 1,34 vuxna och 0,36 barn. Medelhushållet i Göteborg består av 1,34 vuxna och 0,36 barn. 1,34 + (0,36/2)= 1,52</t>
        </r>
      </text>
    </comment>
    <comment ref="D12" authorId="0">
      <text>
        <r>
          <rPr>
            <b/>
            <sz val="9"/>
            <color indexed="81"/>
            <rFont val="Tahoma"/>
            <family val="2"/>
          </rPr>
          <t>Jörgen Larsson:</t>
        </r>
        <r>
          <rPr>
            <sz val="9"/>
            <color indexed="81"/>
            <rFont val="Tahoma"/>
            <family val="2"/>
          </rPr>
          <t xml:space="preserve">
Denna siffra avser per person, inte per hushålls som övriga siffror på raden</t>
        </r>
      </text>
    </comment>
    <comment ref="A26" authorId="1">
      <text>
        <r>
          <rPr>
            <b/>
            <sz val="9"/>
            <color indexed="81"/>
            <rFont val="Tahoma"/>
            <family val="2"/>
          </rPr>
          <t>Lisa Bolin:</t>
        </r>
        <r>
          <rPr>
            <sz val="9"/>
            <color indexed="81"/>
            <rFont val="Tahoma"/>
            <family val="2"/>
          </rPr>
          <t xml:space="preserve">
slutlig användning</t>
        </r>
      </text>
    </comment>
    <comment ref="A27" authorId="1">
      <text>
        <r>
          <rPr>
            <b/>
            <sz val="9"/>
            <color indexed="81"/>
            <rFont val="Tahoma"/>
            <family val="2"/>
          </rPr>
          <t>Lisa Bolin:</t>
        </r>
        <r>
          <rPr>
            <sz val="9"/>
            <color indexed="81"/>
            <rFont val="Tahoma"/>
            <family val="2"/>
          </rPr>
          <t xml:space="preserve">
Från:
"End-use metering campaign in 400 households
In Sweden"
Endast "specifik elanvändning", dvs alla laster utom värme och varmvatten.</t>
        </r>
      </text>
    </comment>
    <comment ref="D27" authorId="1">
      <text>
        <r>
          <rPr>
            <b/>
            <sz val="9"/>
            <color indexed="81"/>
            <rFont val="Tahoma"/>
            <family val="2"/>
          </rPr>
          <t>Lisa Bolin:</t>
        </r>
        <r>
          <rPr>
            <sz val="9"/>
            <color indexed="81"/>
            <rFont val="Tahoma"/>
            <family val="2"/>
          </rPr>
          <t xml:space="preserve">
Energimyndighetens siffra för totalt använd el inom bostäder i gbg kommun delat på befolkning samma år, 2010</t>
        </r>
      </text>
    </comment>
    <comment ref="D28" authorId="1">
      <text>
        <r>
          <rPr>
            <b/>
            <sz val="9"/>
            <color indexed="81"/>
            <rFont val="Tahoma"/>
            <family val="2"/>
          </rPr>
          <t>Lisa Bolin:</t>
        </r>
        <r>
          <rPr>
            <sz val="9"/>
            <color indexed="81"/>
            <rFont val="Tahoma"/>
            <family val="2"/>
          </rPr>
          <t xml:space="preserve">
Utsläpp från uppvärmning i gbg, SCB delat på befolkningen</t>
        </r>
      </text>
    </comment>
  </commentList>
</comments>
</file>

<file path=xl/comments4.xml><?xml version="1.0" encoding="utf-8"?>
<comments xmlns="http://schemas.openxmlformats.org/spreadsheetml/2006/main">
  <authors>
    <author>Jörgen Larsson</author>
    <author>Lisa Bolin</author>
  </authors>
  <commentList>
    <comment ref="D7" authorId="0">
      <text>
        <r>
          <rPr>
            <b/>
            <sz val="9"/>
            <color indexed="81"/>
            <rFont val="Tahoma"/>
            <family val="2"/>
          </rPr>
          <t>Jörgen Larsson:</t>
        </r>
        <r>
          <rPr>
            <sz val="9"/>
            <color indexed="81"/>
            <rFont val="Tahoma"/>
            <family val="2"/>
          </rPr>
          <t xml:space="preserve">
Baserat på statistik från scb för Göteborgs kommun. </t>
        </r>
      </text>
    </comment>
    <comment ref="A8" authorId="0">
      <text>
        <r>
          <rPr>
            <b/>
            <sz val="9"/>
            <color indexed="81"/>
            <rFont val="Tahoma"/>
            <family val="2"/>
          </rPr>
          <t>Jörgen Larsson:</t>
        </r>
        <r>
          <rPr>
            <sz val="9"/>
            <color indexed="81"/>
            <rFont val="Tahoma"/>
            <family val="2"/>
          </rPr>
          <t xml:space="preserve">
Vuxen =1, barn=0,5</t>
        </r>
      </text>
    </comment>
    <comment ref="D8" authorId="0">
      <text>
        <r>
          <rPr>
            <b/>
            <sz val="9"/>
            <color indexed="81"/>
            <rFont val="Tahoma"/>
            <family val="2"/>
          </rPr>
          <t>Jörgen Larsson:</t>
        </r>
        <r>
          <rPr>
            <sz val="9"/>
            <color indexed="81"/>
            <rFont val="Tahoma"/>
            <family val="2"/>
          </rPr>
          <t xml:space="preserve">
Snitthushållet består av 1,34 vuxna och 0,36 barn. Medelhushållet i Göteborg består av 1,34 vuxna och 0,36 barn. 1,34 + (0,36/2)= 1,52</t>
        </r>
      </text>
    </comment>
    <comment ref="D12" authorId="0">
      <text>
        <r>
          <rPr>
            <b/>
            <sz val="9"/>
            <color indexed="81"/>
            <rFont val="Tahoma"/>
            <family val="2"/>
          </rPr>
          <t>Jörgen Larsson:</t>
        </r>
        <r>
          <rPr>
            <sz val="9"/>
            <color indexed="81"/>
            <rFont val="Tahoma"/>
            <family val="2"/>
          </rPr>
          <t xml:space="preserve">
Denna siffra avser per person, inte per hushålls som övriga siffror på raden</t>
        </r>
      </text>
    </comment>
    <comment ref="A26" authorId="1">
      <text>
        <r>
          <rPr>
            <b/>
            <sz val="9"/>
            <color indexed="81"/>
            <rFont val="Tahoma"/>
            <family val="2"/>
          </rPr>
          <t>Lisa Bolin:</t>
        </r>
        <r>
          <rPr>
            <sz val="9"/>
            <color indexed="81"/>
            <rFont val="Tahoma"/>
            <family val="2"/>
          </rPr>
          <t xml:space="preserve">
slutlig användning</t>
        </r>
      </text>
    </comment>
    <comment ref="A27" authorId="1">
      <text>
        <r>
          <rPr>
            <b/>
            <sz val="9"/>
            <color indexed="81"/>
            <rFont val="Tahoma"/>
            <family val="2"/>
          </rPr>
          <t>Lisa Bolin:</t>
        </r>
        <r>
          <rPr>
            <sz val="9"/>
            <color indexed="81"/>
            <rFont val="Tahoma"/>
            <family val="2"/>
          </rPr>
          <t xml:space="preserve">
Från:
"End-use metering campaign in 400 households
In Sweden"
Endast "specifik elanvändning", dvs alla laster utom värme och varmvatten.</t>
        </r>
      </text>
    </comment>
    <comment ref="D27" authorId="1">
      <text>
        <r>
          <rPr>
            <b/>
            <sz val="9"/>
            <color indexed="81"/>
            <rFont val="Tahoma"/>
            <family val="2"/>
          </rPr>
          <t>Lisa Bolin:</t>
        </r>
        <r>
          <rPr>
            <sz val="9"/>
            <color indexed="81"/>
            <rFont val="Tahoma"/>
            <family val="2"/>
          </rPr>
          <t xml:space="preserve">
Energimyndighetens siffra för totalt använd el inom bostäder i gbg kommun delat på befolkning samma år, 2010</t>
        </r>
      </text>
    </comment>
    <comment ref="D28" authorId="1">
      <text>
        <r>
          <rPr>
            <b/>
            <sz val="9"/>
            <color indexed="81"/>
            <rFont val="Tahoma"/>
            <family val="2"/>
          </rPr>
          <t>Lisa Bolin:</t>
        </r>
        <r>
          <rPr>
            <sz val="9"/>
            <color indexed="81"/>
            <rFont val="Tahoma"/>
            <family val="2"/>
          </rPr>
          <t xml:space="preserve">
Utsläpp från uppvärmning i gbg, SCB delat på befolkningen</t>
        </r>
      </text>
    </comment>
  </commentList>
</comments>
</file>

<file path=xl/comments5.xml><?xml version="1.0" encoding="utf-8"?>
<comments xmlns="http://schemas.openxmlformats.org/spreadsheetml/2006/main">
  <authors>
    <author>Jörgen Larsson</author>
    <author>Inger-Lise Svensson</author>
  </authors>
  <commentList>
    <comment ref="B9" authorId="0">
      <text>
        <r>
          <rPr>
            <sz val="9"/>
            <color indexed="81"/>
            <rFont val="Tahoma"/>
            <family val="2"/>
          </rPr>
          <t xml:space="preserve">Samma andel är antagen för höginkomsthushåll som för genomsnittssvensken. Det innebär troligtvis en överskattning för höginkomsttagaren. </t>
        </r>
      </text>
    </comment>
    <comment ref="F14" authorId="1">
      <text>
        <r>
          <rPr>
            <b/>
            <sz val="9"/>
            <color indexed="81"/>
            <rFont val="Tahoma"/>
            <family val="2"/>
          </rPr>
          <t>Inger-Lise Svensson:</t>
        </r>
        <r>
          <rPr>
            <sz val="9"/>
            <color indexed="81"/>
            <rFont val="Tahoma"/>
            <family val="2"/>
          </rPr>
          <t xml:space="preserve">
Data om inkomst från Alingsås kommun</t>
        </r>
      </text>
    </comment>
  </commentList>
</comments>
</file>

<file path=xl/comments6.xml><?xml version="1.0" encoding="utf-8"?>
<comments xmlns="http://schemas.openxmlformats.org/spreadsheetml/2006/main">
  <authors>
    <author>Jörgen Larsson</author>
  </authors>
  <commentList>
    <comment ref="N13" authorId="0">
      <text>
        <r>
          <rPr>
            <b/>
            <sz val="9"/>
            <color indexed="81"/>
            <rFont val="Tahoma"/>
            <family val="2"/>
          </rPr>
          <t>Jörgen Larsson:</t>
        </r>
        <r>
          <rPr>
            <sz val="9"/>
            <color indexed="81"/>
            <rFont val="Tahoma"/>
            <family val="2"/>
          </rPr>
          <t xml:space="preserve">
Räknat på att vuxen är 1 och barn 0,5</t>
        </r>
      </text>
    </comment>
    <comment ref="Q22" authorId="0">
      <text>
        <r>
          <rPr>
            <b/>
            <sz val="9"/>
            <color indexed="81"/>
            <rFont val="Tahoma"/>
            <family val="2"/>
          </rPr>
          <t>Jörgen Larsson:</t>
        </r>
        <r>
          <rPr>
            <sz val="9"/>
            <color indexed="81"/>
            <rFont val="Tahoma"/>
            <family val="2"/>
          </rPr>
          <t xml:space="preserve">
pga brist på info antas att hushållet har ett barn och alltså 10 600 kr i barnbidrag</t>
        </r>
      </text>
    </comment>
    <comment ref="B24" authorId="0">
      <text>
        <r>
          <rPr>
            <b/>
            <sz val="9"/>
            <color indexed="81"/>
            <rFont val="Tahoma"/>
            <family val="2"/>
          </rPr>
          <t>Jörgen Larsson:</t>
        </r>
        <r>
          <rPr>
            <sz val="9"/>
            <color indexed="81"/>
            <rFont val="Tahoma"/>
            <family val="2"/>
          </rPr>
          <t xml:space="preserve">
Baserat på likhet i inkomst per konsumtionsenhet. Rad 20</t>
        </r>
      </text>
    </comment>
  </commentList>
</comments>
</file>

<file path=xl/comments7.xml><?xml version="1.0" encoding="utf-8"?>
<comments xmlns="http://schemas.openxmlformats.org/spreadsheetml/2006/main">
  <authors>
    <author>Jörgen Larsson</author>
  </authors>
  <commentList>
    <comment ref="M13" authorId="0">
      <text>
        <r>
          <rPr>
            <b/>
            <sz val="9"/>
            <color indexed="81"/>
            <rFont val="Tahoma"/>
            <family val="2"/>
          </rPr>
          <t>Jörgen Larsson:</t>
        </r>
        <r>
          <rPr>
            <sz val="9"/>
            <color indexed="81"/>
            <rFont val="Tahoma"/>
            <family val="2"/>
          </rPr>
          <t xml:space="preserve">
Räknat på att vuxen är 1 och barn 0,5</t>
        </r>
      </text>
    </comment>
    <comment ref="P22" authorId="0">
      <text>
        <r>
          <rPr>
            <b/>
            <sz val="9"/>
            <color indexed="81"/>
            <rFont val="Tahoma"/>
            <family val="2"/>
          </rPr>
          <t>Jörgen Larsson:</t>
        </r>
        <r>
          <rPr>
            <sz val="9"/>
            <color indexed="81"/>
            <rFont val="Tahoma"/>
            <family val="2"/>
          </rPr>
          <t xml:space="preserve">
pga brist på info antas att hushållet har ett barn och alltså 10 600 kr i barnbidrag</t>
        </r>
      </text>
    </comment>
    <comment ref="A24" authorId="0">
      <text>
        <r>
          <rPr>
            <b/>
            <sz val="9"/>
            <color indexed="81"/>
            <rFont val="Tahoma"/>
            <family val="2"/>
          </rPr>
          <t>Jörgen Larsson:</t>
        </r>
        <r>
          <rPr>
            <sz val="9"/>
            <color indexed="81"/>
            <rFont val="Tahoma"/>
            <family val="2"/>
          </rPr>
          <t xml:space="preserve">
Baserat på likhet i inkomst per konsumtionsenhet. Rad 20</t>
        </r>
      </text>
    </comment>
  </commentList>
</comments>
</file>

<file path=xl/comments8.xml><?xml version="1.0" encoding="utf-8"?>
<comments xmlns="http://schemas.openxmlformats.org/spreadsheetml/2006/main">
  <authors>
    <author>Author</author>
    <author>Jörgen Larsson</author>
  </authors>
  <commentList>
    <comment ref="H4" authorId="0">
      <text>
        <r>
          <rPr>
            <b/>
            <sz val="9"/>
            <color indexed="81"/>
            <rFont val="Tahoma"/>
            <family val="2"/>
          </rPr>
          <t>Author:</t>
        </r>
        <r>
          <rPr>
            <sz val="9"/>
            <color indexed="81"/>
            <rFont val="Tahoma"/>
            <family val="2"/>
          </rPr>
          <t xml:space="preserve">
antar samma som för buss, dvs 17/50 platser=0,34 </t>
        </r>
      </text>
    </comment>
    <comment ref="C5" authorId="0">
      <text>
        <r>
          <rPr>
            <b/>
            <sz val="9"/>
            <color indexed="81"/>
            <rFont val="Tahoma"/>
            <family val="2"/>
          </rPr>
          <t>Author:</t>
        </r>
        <r>
          <rPr>
            <sz val="9"/>
            <color indexed="81"/>
            <rFont val="Tahoma"/>
            <family val="2"/>
          </rPr>
          <t xml:space="preserve">
Antagande att 30 % av km var förnybart (varav biogas 8%, biodiesel 22%).</t>
        </r>
      </text>
    </comment>
    <comment ref="H5" authorId="0">
      <text>
        <r>
          <rPr>
            <b/>
            <sz val="9"/>
            <color indexed="81"/>
            <rFont val="Tahoma"/>
            <family val="2"/>
          </rPr>
          <t>Author:</t>
        </r>
        <r>
          <rPr>
            <sz val="9"/>
            <color indexed="81"/>
            <rFont val="Tahoma"/>
            <family val="2"/>
          </rPr>
          <t xml:space="preserve">
Antagande om 17 personer per buss hämtat från nmt</t>
        </r>
      </text>
    </comment>
    <comment ref="C9" authorId="1">
      <text>
        <r>
          <rPr>
            <sz val="9"/>
            <color indexed="81"/>
            <rFont val="Tahoma"/>
            <charset val="1"/>
          </rPr>
          <t xml:space="preserve">Efter att rapporten gått till tryck så ändrades denna siffra från 305 (EU snitt för utsläpp från el-produktion) till 126 som avser nordisk elmix. Denna förändring är dock inte införd i rapporten. Effekten på utsläppen blir dock ytterst marginell. 
</t>
        </r>
      </text>
    </comment>
    <comment ref="J19" authorId="1">
      <text>
        <r>
          <rPr>
            <b/>
            <sz val="9"/>
            <color indexed="81"/>
            <rFont val="Tahoma"/>
            <charset val="1"/>
          </rPr>
          <t>Jörgen Larsson:</t>
        </r>
        <r>
          <rPr>
            <sz val="9"/>
            <color indexed="81"/>
            <rFont val="Tahoma"/>
            <charset val="1"/>
          </rPr>
          <t xml:space="preserve">
Ändrat till 90 %, källa måste fixas.</t>
        </r>
      </text>
    </comment>
  </commentList>
</comments>
</file>

<file path=xl/sharedStrings.xml><?xml version="1.0" encoding="utf-8"?>
<sst xmlns="http://schemas.openxmlformats.org/spreadsheetml/2006/main" count="863" uniqueCount="432">
  <si>
    <t>Hushåll</t>
  </si>
  <si>
    <t>Bostadstyp</t>
  </si>
  <si>
    <t>Ålder</t>
  </si>
  <si>
    <t>Familj</t>
  </si>
  <si>
    <t>Villa i villaområde</t>
  </si>
  <si>
    <t>30-64</t>
  </si>
  <si>
    <t>sambo med barn</t>
  </si>
  <si>
    <t>ensamstående utan barn</t>
  </si>
  <si>
    <t>Hyresrätt i hyresområde</t>
  </si>
  <si>
    <t>6 (medelgöteborgare)</t>
  </si>
  <si>
    <t>2 (ensamstående i hyresrätt)</t>
  </si>
  <si>
    <t>20% småhus 80% lägenhet</t>
  </si>
  <si>
    <t>Uppvärmning typ</t>
  </si>
  <si>
    <t>Göteborg</t>
  </si>
  <si>
    <t>Alingsås</t>
  </si>
  <si>
    <t>1 (höginkomstfamilj i villa)</t>
  </si>
  <si>
    <t>Antal bilar (antagande)</t>
  </si>
  <si>
    <t>Flygresor och bilresor per person och år samt medelinkomst efter bakgrundsvariabler</t>
  </si>
  <si>
    <t>Sträcka i flyg (i km)</t>
  </si>
  <si>
    <t>Kön</t>
  </si>
  <si>
    <t>Män</t>
  </si>
  <si>
    <t>Kvinnor</t>
  </si>
  <si>
    <t>Municipality</t>
  </si>
  <si>
    <t xml:space="preserve">Stockholms län               </t>
  </si>
  <si>
    <t xml:space="preserve">Uppsala län                  </t>
  </si>
  <si>
    <t xml:space="preserve">Södermanlands län            </t>
  </si>
  <si>
    <t xml:space="preserve">Östergötlands  län           </t>
  </si>
  <si>
    <t xml:space="preserve">Jönköpings län               </t>
  </si>
  <si>
    <t xml:space="preserve">Kronobergs län               </t>
  </si>
  <si>
    <t xml:space="preserve">Kalmar län                   </t>
  </si>
  <si>
    <t xml:space="preserve">Gotlands län                 </t>
  </si>
  <si>
    <t xml:space="preserve">Blekinge län                 </t>
  </si>
  <si>
    <t xml:space="preserve">Skåne län                    </t>
  </si>
  <si>
    <t xml:space="preserve">Hallands län                 </t>
  </si>
  <si>
    <t xml:space="preserve">Västra Götalands län         </t>
  </si>
  <si>
    <t xml:space="preserve">Värmlands län                </t>
  </si>
  <si>
    <t xml:space="preserve">Örebro län                   </t>
  </si>
  <si>
    <t xml:space="preserve">Västmanlands län             </t>
  </si>
  <si>
    <t xml:space="preserve">Dalarnas län                 </t>
  </si>
  <si>
    <t xml:space="preserve">Gävleborgs län               </t>
  </si>
  <si>
    <t xml:space="preserve">Västernorrlands län          </t>
  </si>
  <si>
    <t xml:space="preserve">Jämtlands län                </t>
  </si>
  <si>
    <t xml:space="preserve">Västerbottens län            </t>
  </si>
  <si>
    <t xml:space="preserve">Norrbottens län              </t>
  </si>
  <si>
    <t xml:space="preserve">Adress kan ej GEO-kodas      </t>
  </si>
  <si>
    <t>Individinkomst</t>
  </si>
  <si>
    <t xml:space="preserve">0-143 640 kr                 </t>
  </si>
  <si>
    <t xml:space="preserve">143 641-221 000 kr           </t>
  </si>
  <si>
    <t xml:space="preserve">221 001-300 000 kr           </t>
  </si>
  <si>
    <t xml:space="preserve">300 001+ kr                  </t>
  </si>
  <si>
    <t>Vet ej/Vill ej svara/Uppgift saknas</t>
  </si>
  <si>
    <t>6-17 år</t>
  </si>
  <si>
    <t xml:space="preserve">18-24 år                     </t>
  </si>
  <si>
    <t xml:space="preserve">25-34 år                     </t>
  </si>
  <si>
    <t xml:space="preserve">35-44 år                     </t>
  </si>
  <si>
    <t xml:space="preserve">45-54 år                     </t>
  </si>
  <si>
    <t xml:space="preserve">55-64 år                     </t>
  </si>
  <si>
    <t xml:space="preserve">65-74 år                     </t>
  </si>
  <si>
    <t xml:space="preserve">75-84 år                     </t>
  </si>
  <si>
    <t xml:space="preserve">Livskategori             </t>
  </si>
  <si>
    <t xml:space="preserve">Barn 6-15 år, hemma        </t>
  </si>
  <si>
    <t xml:space="preserve">Ungdom 15-24 år, hemma     </t>
  </si>
  <si>
    <t xml:space="preserve">Ungdom 15-24 år, ej hemma  </t>
  </si>
  <si>
    <t xml:space="preserve">Yngre barnlös, 25-44 år    </t>
  </si>
  <si>
    <t xml:space="preserve">Förälder, barn, 0-6 år     </t>
  </si>
  <si>
    <t xml:space="preserve">Förälder, barn, 7-18 år    </t>
  </si>
  <si>
    <t xml:space="preserve">Äldre barnlös, 45-64 år    </t>
  </si>
  <si>
    <t xml:space="preserve">Pensionär                  </t>
  </si>
  <si>
    <t xml:space="preserve">Uppgift saknas               </t>
  </si>
  <si>
    <t>Hushållsstorlek</t>
  </si>
  <si>
    <t xml:space="preserve">1 person                     </t>
  </si>
  <si>
    <t xml:space="preserve">2 personer                   </t>
  </si>
  <si>
    <t xml:space="preserve">3 personer                   </t>
  </si>
  <si>
    <t xml:space="preserve">4 personer                   </t>
  </si>
  <si>
    <t xml:space="preserve">5 personer                   </t>
  </si>
  <si>
    <t xml:space="preserve">6- personer                  </t>
  </si>
  <si>
    <t xml:space="preserve">Vet ej/Vill ej svara/Uppgift saknas                   </t>
  </si>
  <si>
    <t>Boenderegion, kommungruppsindelning SKL</t>
  </si>
  <si>
    <t>Storstäder</t>
  </si>
  <si>
    <t>Förortskommun</t>
  </si>
  <si>
    <t>Större städer</t>
  </si>
  <si>
    <t>Pendlingskommun</t>
  </si>
  <si>
    <t>Glesbygdskommuner</t>
  </si>
  <si>
    <t>Varuproducerande kommuner</t>
  </si>
  <si>
    <t>Övriga kommuner, mer än 25 000 invånare</t>
  </si>
  <si>
    <t>Övriga kommuner, 12 500 - 25 000 invånare</t>
  </si>
  <si>
    <t>Övriga kommuner, mindre än 12 500 invånare</t>
  </si>
  <si>
    <t>Adress kan ej geokodas</t>
  </si>
  <si>
    <t xml:space="preserve">Samtliga                     </t>
  </si>
  <si>
    <r>
      <t xml:space="preserve">Tabell 24. Disponibel inkomst - andel av totala utgifter per hushåll år 2007-2009                                                                                                           </t>
    </r>
    <r>
      <rPr>
        <b/>
        <sz val="8"/>
        <rFont val="Arial"/>
        <family val="2"/>
      </rPr>
      <t>Disposable income - share of total expenditure per household during 2007-2009</t>
    </r>
  </si>
  <si>
    <t>Ton co2</t>
  </si>
  <si>
    <t>Första decilen</t>
  </si>
  <si>
    <t>Andra                                                   decilen</t>
  </si>
  <si>
    <t>Tredje                                                         decilen</t>
  </si>
  <si>
    <t>Fjärde                                                decilen</t>
  </si>
  <si>
    <t>Femte                                     decilen</t>
  </si>
  <si>
    <t>Sjätte decilen</t>
  </si>
  <si>
    <t>Sjunde decilen</t>
  </si>
  <si>
    <t>Åttonde decilen</t>
  </si>
  <si>
    <t>Nionde decilen</t>
  </si>
  <si>
    <t>Tioende decilen</t>
  </si>
  <si>
    <t>Antal medverkande hushåll</t>
  </si>
  <si>
    <t xml:space="preserve">Genomsnittligt antal    </t>
  </si>
  <si>
    <t xml:space="preserve">    personer</t>
  </si>
  <si>
    <t xml:space="preserve">    konsumtionsenheter</t>
  </si>
  <si>
    <t>Beräknad populations-</t>
  </si>
  <si>
    <t>storlek</t>
  </si>
  <si>
    <t>± 37 780</t>
  </si>
  <si>
    <t>± 40 130</t>
  </si>
  <si>
    <t>± 39 590</t>
  </si>
  <si>
    <t>± 37 540</t>
  </si>
  <si>
    <t>± 37 280</t>
  </si>
  <si>
    <t>± 34 710</t>
  </si>
  <si>
    <t>± 30 110</t>
  </si>
  <si>
    <t>± 27 260</t>
  </si>
  <si>
    <t>± 25 260</t>
  </si>
  <si>
    <t>± 23 560</t>
  </si>
  <si>
    <t xml:space="preserve">Hushållets genomsnittliga </t>
  </si>
  <si>
    <r>
      <t xml:space="preserve">disponibla inkomst </t>
    </r>
    <r>
      <rPr>
        <b/>
        <sz val="8"/>
        <rFont val="Calibri"/>
        <family val="2"/>
      </rPr>
      <t>¹</t>
    </r>
  </si>
  <si>
    <t>± 6 920</t>
  </si>
  <si>
    <t>± 1 270</t>
  </si>
  <si>
    <t>± 1 420</t>
  </si>
  <si>
    <t>± 1 260</t>
  </si>
  <si>
    <t>± 1 290</t>
  </si>
  <si>
    <t>± 1 560</t>
  </si>
  <si>
    <t>± 1 520</t>
  </si>
  <si>
    <t>± 1 710</t>
  </si>
  <si>
    <t>± 2 260</t>
  </si>
  <si>
    <t>± 44 100</t>
  </si>
  <si>
    <t>INKOMST PER KONSUMTIONSENHET</t>
  </si>
  <si>
    <t>TOTALA UTGIFTERNA</t>
  </si>
  <si>
    <t>TOTALA UTGIFTER PER KONSUMTIONSENHET</t>
  </si>
  <si>
    <t>UTGIFTSANDEL AV INKOMSTEN</t>
  </si>
  <si>
    <t>Andel hämtas från decil nr:</t>
  </si>
  <si>
    <t>Utgifer i kronor</t>
  </si>
  <si>
    <t>UTEMÅLTIDER</t>
  </si>
  <si>
    <t>ALKOHOLHALTIGA DRYCKER</t>
  </si>
  <si>
    <t>TOBAK</t>
  </si>
  <si>
    <t>FÖRBRUKNINGSVAROR</t>
  </si>
  <si>
    <t>.</t>
  </si>
  <si>
    <t>Fackavgift, övriga försäkringar</t>
  </si>
  <si>
    <t>Övriga tjänster</t>
  </si>
  <si>
    <t>Kläder</t>
  </si>
  <si>
    <t>Skor</t>
  </si>
  <si>
    <t xml:space="preserve">Hyra/avgift för hyres-/borätt </t>
  </si>
  <si>
    <t>Reparationer</t>
  </si>
  <si>
    <t>Hem och villaförsäkring</t>
  </si>
  <si>
    <t xml:space="preserve">Tjänster förknippade med </t>
  </si>
  <si>
    <t>Elektricitet, gas och andra bränslen</t>
  </si>
  <si>
    <t>Räntor (brutto)</t>
  </si>
  <si>
    <t>Fastighetsavgift</t>
  </si>
  <si>
    <t>Tomträttsavgäld</t>
  </si>
  <si>
    <t xml:space="preserve">Möbler och inventarier, mattor och </t>
  </si>
  <si>
    <t>Textilier</t>
  </si>
  <si>
    <t>Hushållsutrustning</t>
  </si>
  <si>
    <t>Inköp av bil</t>
  </si>
  <si>
    <t>Inköp av övriga persontransportmedel</t>
  </si>
  <si>
    <t>Drift av bil</t>
  </si>
  <si>
    <t>Ränta (bil - brutto), bilskatt</t>
  </si>
  <si>
    <t>Drift av övriga persontransportmedel</t>
  </si>
  <si>
    <t>Lokalresor, transporttjänster</t>
  </si>
  <si>
    <t>Fritidsbostad</t>
  </si>
  <si>
    <t>Radio och TV</t>
  </si>
  <si>
    <t>Lek, sport, hobby</t>
  </si>
  <si>
    <t>Ur, kamera, fototjänster</t>
  </si>
  <si>
    <t>Resor, hotell</t>
  </si>
  <si>
    <t>Övrig fritid</t>
  </si>
  <si>
    <t>Underhållning</t>
  </si>
  <si>
    <t>Böcker, tidningar, TV-licens etc.</t>
  </si>
  <si>
    <t>Mobiltelefon (samtal och abbonnemang)</t>
  </si>
  <si>
    <t>Fast telefon (samtal och abbonnemang)</t>
  </si>
  <si>
    <t>COICOP nr</t>
  </si>
  <si>
    <t>gCO2/SEK</t>
  </si>
  <si>
    <t>c 0411</t>
  </si>
  <si>
    <t>separat</t>
  </si>
  <si>
    <t>c0511</t>
  </si>
  <si>
    <t>c 0520</t>
  </si>
  <si>
    <t>c0540</t>
  </si>
  <si>
    <t>c 0422</t>
  </si>
  <si>
    <t>Fjärrvärme</t>
  </si>
  <si>
    <t>Biobränsle</t>
  </si>
  <si>
    <t>Värmepump</t>
  </si>
  <si>
    <t>Medelmix (baserad på VGR-data? Eller SCB? 80% bor ju i flerbostadshus--&gt;mest fjärrvärme)</t>
  </si>
  <si>
    <t xml:space="preserve">förenklad </t>
  </si>
  <si>
    <t>Hushållsutsläpp delas på</t>
  </si>
  <si>
    <t>Offentlig konsumtion</t>
  </si>
  <si>
    <t>Utsläppsfaktorer för fjärrvärme g CO2e/kWh</t>
  </si>
  <si>
    <t>Referenser</t>
  </si>
  <si>
    <t>BAU</t>
  </si>
  <si>
    <t>x</t>
  </si>
  <si>
    <t>Energibalansen för gbg för 2010, utgår från att värmeunderlaget är det samma trort befolkningsökning</t>
  </si>
  <si>
    <t>Beräkningar utifrån energibalansen, baserat på 15 % minskat underlag 2030 enl. gbg energi i rapporten: energieffektiv bebyggelse och fjärrvärme i framtiden</t>
  </si>
  <si>
    <t>För 2050 antas att värmeunderlaget minskat med 30 %</t>
  </si>
  <si>
    <t>Power Statistics, 2010 Edition, Synopsis s. 3 och Energy Roadmap 2050 Impact assessment and scenario analysis, attachment 1</t>
  </si>
  <si>
    <t>Naturgas</t>
  </si>
  <si>
    <t>Emissionsfaktorer, LCA-perspektiv</t>
  </si>
  <si>
    <t>ref: Gode m.fl., (2011)</t>
  </si>
  <si>
    <t>Diesel 0 % RME</t>
  </si>
  <si>
    <t>Diesel 5 % RME</t>
  </si>
  <si>
    <t>Bensin 0 % etanol</t>
  </si>
  <si>
    <t>Bensin 5 % etanol</t>
  </si>
  <si>
    <t>Flygfotogen (Jet A1)</t>
  </si>
  <si>
    <t>EO1</t>
  </si>
  <si>
    <t>E85</t>
  </si>
  <si>
    <t>Pellets</t>
  </si>
  <si>
    <t>Flis</t>
  </si>
  <si>
    <t>personbil
[gCO2/kWh]</t>
  </si>
  <si>
    <t>villapanna
[gCO2/kWh]</t>
  </si>
  <si>
    <t>kraftvärme
[gCO2/kWh]</t>
  </si>
  <si>
    <t xml:space="preserve">faktor för påslag av uppströms utsläpp
</t>
  </si>
  <si>
    <t>Snittutsläpp kilo CO2/personkm för Buss, spårvagn och pendeltåg i VGR</t>
  </si>
  <si>
    <t>BUSS</t>
  </si>
  <si>
    <t xml:space="preserve">Sittplatskm </t>
  </si>
  <si>
    <t>Andel</t>
  </si>
  <si>
    <t>Beläggningsgrad</t>
  </si>
  <si>
    <t>kgCO2/personkm</t>
  </si>
  <si>
    <t>Kg utsläpp/MWh</t>
  </si>
  <si>
    <t>MWh</t>
  </si>
  <si>
    <t>kg Tot CO2</t>
  </si>
  <si>
    <t>Person-km</t>
  </si>
  <si>
    <t>Viktat medel</t>
  </si>
  <si>
    <t>Övrig konsumtion</t>
  </si>
  <si>
    <t>km</t>
  </si>
  <si>
    <t>Befolkning VGR</t>
  </si>
  <si>
    <t>bil</t>
  </si>
  <si>
    <t>D52.1d: N= Antal DEL-resor/dag exl bes inom de 18, wN= viktat antal (Vardagar)</t>
  </si>
  <si>
    <t>xd_ford</t>
  </si>
  <si>
    <t>Bil</t>
  </si>
  <si>
    <t>Cykel</t>
  </si>
  <si>
    <t>Kollektivt</t>
  </si>
  <si>
    <t>Till fots</t>
  </si>
  <si>
    <t>Övrigt</t>
  </si>
  <si>
    <t>All</t>
  </si>
  <si>
    <t>%</t>
  </si>
  <si>
    <t>Kungsbacka</t>
  </si>
  <si>
    <t>Härryda</t>
  </si>
  <si>
    <t>Partille</t>
  </si>
  <si>
    <t>Öckerö</t>
  </si>
  <si>
    <t>Stenungsund</t>
  </si>
  <si>
    <t>Tjörn</t>
  </si>
  <si>
    <t>Orust</t>
  </si>
  <si>
    <t>Ale</t>
  </si>
  <si>
    <t>Lerum</t>
  </si>
  <si>
    <t>Vårgårda</t>
  </si>
  <si>
    <t>Bollebygd</t>
  </si>
  <si>
    <t>Lilla Edet</t>
  </si>
  <si>
    <t>Mark</t>
  </si>
  <si>
    <t>Mölndal</t>
  </si>
  <si>
    <t>Kungälv</t>
  </si>
  <si>
    <t>Borås</t>
  </si>
  <si>
    <t>D52.1e: N= Antal DEL-resor/dag exl bes inom de 18, wN= viktat antal (Vardagar)</t>
  </si>
  <si>
    <t>Centrala</t>
  </si>
  <si>
    <t>Hisingen</t>
  </si>
  <si>
    <t>Nordost</t>
  </si>
  <si>
    <t>Sydost</t>
  </si>
  <si>
    <t>Sydväst</t>
  </si>
  <si>
    <t>resor per dag gbg</t>
  </si>
  <si>
    <t>resor per dag alingsås</t>
  </si>
  <si>
    <t>Antal resor per färdsätt</t>
  </si>
  <si>
    <t>medellängs resor gbg</t>
  </si>
  <si>
    <t>kollektiv</t>
  </si>
  <si>
    <t>medellängd resor regionen</t>
  </si>
  <si>
    <t>Sträcka km/dag</t>
  </si>
  <si>
    <t>Sträcka per år</t>
  </si>
  <si>
    <t>Personkilometer VGR 2010</t>
  </si>
  <si>
    <t>Personkilometer/pers VGR 2010</t>
  </si>
  <si>
    <t>Kommungränssnittet</t>
  </si>
  <si>
    <t>28 Fasta punkter</t>
  </si>
  <si>
    <t>Götaälvsnittet</t>
  </si>
  <si>
    <t>Centrala stadssnittet</t>
  </si>
  <si>
    <t>Citysnittet</t>
  </si>
  <si>
    <t xml:space="preserve"> </t>
  </si>
  <si>
    <t>Befolkning</t>
  </si>
  <si>
    <t>År</t>
  </si>
  <si>
    <t>Folkmängd</t>
  </si>
  <si>
    <t>Sverige</t>
  </si>
  <si>
    <t>Gbg</t>
  </si>
  <si>
    <t>Källa: Trafikanalys www.trafa.se Undersökning RVU Sverige 2011, tabell 3</t>
  </si>
  <si>
    <t>Utsläpp flyg 2010</t>
  </si>
  <si>
    <t>Utsläpp flyg 2030</t>
  </si>
  <si>
    <t>Utsläpp flyg 2050</t>
  </si>
  <si>
    <t>EN0202A3</t>
  </si>
  <si>
    <t>Intern referenskod:</t>
  </si>
  <si>
    <t>Statistiska centralbyrån</t>
  </si>
  <si>
    <t>Databas:</t>
  </si>
  <si>
    <t>Bastid:</t>
  </si>
  <si>
    <t>Kalenderår</t>
  </si>
  <si>
    <t>Referenstid:</t>
  </si>
  <si>
    <t>Flöde</t>
  </si>
  <si>
    <t>Datatyp:</t>
  </si>
  <si>
    <t>tj</t>
  </si>
  <si>
    <t>Sort:</t>
  </si>
  <si>
    <t>e-mail: barbro.olsson@scb.se</t>
  </si>
  <si>
    <t>Fax: +46 019-17 69 94</t>
  </si>
  <si>
    <t xml:space="preserve"> Phone: +46 019-17 63 11</t>
  </si>
  <si>
    <t>Barbro Olsson, Statistiska centralbyrån (SCB)</t>
  </si>
  <si>
    <t>e-mail: markus.andersson@scb.se</t>
  </si>
  <si>
    <t>Fax: +46 019 - 17 65 69</t>
  </si>
  <si>
    <t xml:space="preserve"> Phone: +46 019 - 17 61 37</t>
  </si>
  <si>
    <t>Markus Andersson, Statistiska centralbyrån (SCB)</t>
  </si>
  <si>
    <t>Kontaktperson:</t>
  </si>
  <si>
    <t>Energimyndigheten</t>
  </si>
  <si>
    <t>Källa:</t>
  </si>
  <si>
    <t>20111024 09:30</t>
  </si>
  <si>
    <t>Senaste uppdatering:</t>
  </si>
  <si>
    <t>7.8 användning inom hushåll (bostäder och annat)</t>
  </si>
  <si>
    <t>elenergi</t>
  </si>
  <si>
    <t>Årliga energibalanser, TJ efter energibärare, energiflöden och tid</t>
  </si>
  <si>
    <t xml:space="preserve">delta y/delta x </t>
  </si>
  <si>
    <t>Befolkning Sverige</t>
  </si>
  <si>
    <t>Elanvänding per person</t>
  </si>
  <si>
    <t>Elanvänding per person 2010</t>
  </si>
  <si>
    <t>Elanvänding per person 2030</t>
  </si>
  <si>
    <t>Elanvänding per person 2050</t>
  </si>
  <si>
    <t>Utsläpp gCO2/km bil 1</t>
  </si>
  <si>
    <t>Utsläpp gCO2/km bil 2</t>
  </si>
  <si>
    <t>prognos gbg stad</t>
  </si>
  <si>
    <t>Körsträcka totalt bil 1 [km]</t>
  </si>
  <si>
    <t>Inkomst (median) [kr]</t>
  </si>
  <si>
    <t>Bostadsyta [m2]</t>
  </si>
  <si>
    <t>Ålder [år]</t>
  </si>
  <si>
    <t>Inkomst delat på personer [kr/pers]</t>
  </si>
  <si>
    <t>Körsträcka totalt bil 2 [km]</t>
  </si>
  <si>
    <t>Kollektivtrafik [km/person]</t>
  </si>
  <si>
    <t>Kollektivtrafik [kg CO2 ekv/person]</t>
  </si>
  <si>
    <t>Flygresor [kg CO2 ekv/person]</t>
  </si>
  <si>
    <t>Uppvärmning [kWh/m2]</t>
  </si>
  <si>
    <t>Elanvändning [kWh]</t>
  </si>
  <si>
    <t>Uppvärmning utsläpp [kg CO2/person]</t>
  </si>
  <si>
    <t>El-utsläpp [kg CO2/person]</t>
  </si>
  <si>
    <t>Bilutsläpp [kgCO2/hushåll]</t>
  </si>
  <si>
    <t>Bilutsläpp [kg CO2/person]</t>
  </si>
  <si>
    <t>Livsmedel [kg CO2 ekv/person]</t>
  </si>
  <si>
    <t>Övrig konsumtion [kg CO2 ekv/person]</t>
  </si>
  <si>
    <t>Offentlig konsumtion [kg CO2 ekv/person]</t>
  </si>
  <si>
    <t>Summa utsläpp [ton CO2 ekv/person]</t>
  </si>
  <si>
    <t xml:space="preserve">EEA, http://www.eea.europa.eu/data-and-maps/figures/trends-in-energy-ghg-emission </t>
  </si>
  <si>
    <t>Utsläpp gCO2/km bil 3</t>
  </si>
  <si>
    <t>Körsträcka totalt bil 3 [km]</t>
  </si>
  <si>
    <t>dy/dx</t>
  </si>
  <si>
    <t>Ökning 2030</t>
  </si>
  <si>
    <t>Ökning 2050</t>
  </si>
  <si>
    <t>faktor för årlig  ökning (exp)</t>
  </si>
  <si>
    <t xml:space="preserve">Ökning per år </t>
  </si>
  <si>
    <t>Inkl barnbidrag</t>
  </si>
  <si>
    <t>Utsläpp gCO2/km bil 3 (el)</t>
  </si>
  <si>
    <t>Utsläpp gCO2/km bil 4 (bio)</t>
  </si>
  <si>
    <t>Biogas, hushållsavfall</t>
  </si>
  <si>
    <t>Körsträcka totalt bil 3 [km] (el)</t>
  </si>
  <si>
    <t>Körsträcka totalt bil 4 [km] (bio)</t>
  </si>
  <si>
    <t>faktor för årlig  minsking (exp)</t>
  </si>
  <si>
    <t>minskning per år</t>
  </si>
  <si>
    <t>Ökning 2012-2030 (SOU)</t>
  </si>
  <si>
    <t>Effektiviserin 2012-2030 (SOU)</t>
  </si>
  <si>
    <t>Ökning 2010-2030 (Åkerman)</t>
  </si>
  <si>
    <t>mellan</t>
  </si>
  <si>
    <t>årlig ökning</t>
  </si>
  <si>
    <t>Typhushåll 1</t>
  </si>
  <si>
    <t>Typhushåll 2</t>
  </si>
  <si>
    <t>Typhushåll 6</t>
  </si>
  <si>
    <t>nuläget</t>
  </si>
  <si>
    <r>
      <t xml:space="preserve">Nässén J., Holmberg J., 2005. Energy efficiency - a forgotten goal in the Swedish building sector?, </t>
    </r>
    <r>
      <rPr>
        <i/>
        <sz val="11"/>
        <color theme="1"/>
        <rFont val="Times New Roman"/>
        <family val="1"/>
      </rPr>
      <t>Energy Policy</t>
    </r>
    <r>
      <rPr>
        <sz val="11"/>
        <color theme="1"/>
        <rFont val="Times New Roman"/>
        <family val="1"/>
      </rPr>
      <t>, Vol. 33, 1037-1051.</t>
    </r>
  </si>
  <si>
    <t>Ökning av bostadsytan 1975-2000</t>
  </si>
  <si>
    <t>villa</t>
  </si>
  <si>
    <t>flerbostad</t>
  </si>
  <si>
    <t>Antagit att värmeunderlaget minskat med 50 % i enlighet med PRINCIP, plus inget fossilt avfall eldas</t>
  </si>
  <si>
    <t>Energy Roadmap 2050 Impact assessment and scenario analysis, attachment 1, current initiatives scenario ingen CSS</t>
  </si>
  <si>
    <t>Energy Roadmap 2050 Impact assessment and scenario analysis, attachment 1,  High res scenarioskillnad INGEN CSS</t>
  </si>
  <si>
    <t>BAU 2030</t>
  </si>
  <si>
    <t>BAU 2050</t>
  </si>
  <si>
    <t>mellan 2050</t>
  </si>
  <si>
    <t>allt 2050</t>
  </si>
  <si>
    <t>typhushåll 1</t>
  </si>
  <si>
    <t>typhushåll 2</t>
  </si>
  <si>
    <t>typhushåll 6</t>
  </si>
  <si>
    <t>Kollektivtrafik</t>
  </si>
  <si>
    <t>Uppvärmning</t>
  </si>
  <si>
    <t>Mat</t>
  </si>
  <si>
    <t>Flyg</t>
  </si>
  <si>
    <t>Medelvärde ökning</t>
  </si>
  <si>
    <t>Utsläppsfaktorer för nordisk el g CO2e/kWh</t>
  </si>
  <si>
    <t>Utsläppsfaktorer för EU-el g CO2e/kWh</t>
  </si>
  <si>
    <t>DKI</t>
  </si>
  <si>
    <t>KLIMAT</t>
  </si>
  <si>
    <t>Medelgöteborgaren</t>
  </si>
  <si>
    <t xml:space="preserve">Askimsbon </t>
  </si>
  <si>
    <t xml:space="preserve">Angeredsbon </t>
  </si>
  <si>
    <t xml:space="preserve">Medelgöteborgaren  </t>
  </si>
  <si>
    <t>IVL U3593</t>
  </si>
  <si>
    <t>Familjesituation</t>
  </si>
  <si>
    <t>kg CO2/fordonskm</t>
  </si>
  <si>
    <t>SPÅRVAGN</t>
  </si>
  <si>
    <t>PENDELTÅG</t>
  </si>
  <si>
    <t>DKI baserat på Robin Sinclairs rapport</t>
  </si>
  <si>
    <t>KLIMAT 2030 baserat på Robin Sinclairs rapport</t>
  </si>
  <si>
    <t>Totala utsläpp inrikesflyg 2006, kg</t>
  </si>
  <si>
    <t>Andel privat flygande</t>
  </si>
  <si>
    <t>Ökning med 11 % Källa Gode J., mfl, 2011. Miljöfaktaboken 2011 – Uppsaktade emissionsfaktorer för bränslen, el, värme och transporter, Värmeforsk, Stockholm. ISSN 1653-1248.</t>
  </si>
  <si>
    <t>Källa: scb.se</t>
  </si>
  <si>
    <t>Antal invånare i Sverige 2006</t>
  </si>
  <si>
    <t>Kilo utläpp per capita</t>
  </si>
  <si>
    <t>Inklusive utsläpp vid produktion av flygbränsle</t>
  </si>
  <si>
    <t>Utsläpp 2010 från flygresor (privat) per person i sverige</t>
  </si>
  <si>
    <t>Kilo utsläpp flyg: Typhushåll 1 (höginkomstfamilj i villa)</t>
  </si>
  <si>
    <t>Kilo utsläpp flyg: övriga typhushåll</t>
  </si>
  <si>
    <t>Personer med hög inkomst flyger 180 % mer än genomsnittssvensken (se cell D50 nedan)</t>
  </si>
  <si>
    <t>Kilo utsläpp från flygresor (exkl tjänsteresor)</t>
  </si>
  <si>
    <t>Totala utsläpp utrikes flygade 2006, kg</t>
  </si>
  <si>
    <t>Källa: Naturvårdsverket http://www.naturvardsverket.se/Sa-mar-miljon/Statistik-A-O/Vaxthusgaser-utslapp-fran-inrikes-transporter/  (uppräknat med 1,9 pga utsläppen sker på hög höjd)</t>
  </si>
  <si>
    <t>Summa</t>
  </si>
  <si>
    <t>Totalt inrikes och utrikes i inklusive uppräkning pga hög höjd</t>
  </si>
  <si>
    <t>Uppräkning med 1,7 baserat på Azar, C. &amp; Johansson, D. 2012, ”Valuing the non-CO2 impacts of aviation” Climatic Change, vol. 111 pp. 559-579.</t>
  </si>
  <si>
    <t>Justering för olika typhushåll</t>
  </si>
  <si>
    <t>källa nedan: RES 2005-2006  (uppgifter erhållna av Chalmers från handläggare på Trafikverket)</t>
  </si>
  <si>
    <t>Källa: Åkerman 2012 (uppräkningen pga utsläpp på hög höjd är här borttagen) Åkerman, J., 2012. Climate impact of international travel by Swedish residents. Journal of Transport Geography, vol. 25,
pp. 87–93</t>
  </si>
  <si>
    <t>Inräknat  ökning mellan 2006 och 2010 på 3% per år</t>
  </si>
  <si>
    <t>Antal flygkilometer 2010</t>
  </si>
  <si>
    <t>Varav privat</t>
  </si>
  <si>
    <t>18-64 år i snitt 2006</t>
  </si>
  <si>
    <t>I relation till 18-64-åringar</t>
  </si>
  <si>
    <t>I relation till samtliga</t>
  </si>
  <si>
    <t>Personer i åldern 18-64 år flyger 25 % mer än genomsnittssvensken (se cell G53 nedan)</t>
  </si>
  <si>
    <t>Höginkomstfamilj</t>
  </si>
  <si>
    <t>Låginkomstfamilj</t>
  </si>
  <si>
    <t>Energy Roadmap 2050 Impact assessment and scenario analysis, attachment 1, reference scenario ingen CSS</t>
  </si>
  <si>
    <t>Power Choices Pathways to Carbon-Neutral Electricity in Europe by 2050</t>
  </si>
  <si>
    <t>NYA UTEMÅLTIDER</t>
  </si>
  <si>
    <t>NYA ÖVRIGA TJÄNSTER</t>
  </si>
  <si>
    <t>Hushållsel</t>
  </si>
  <si>
    <t>2050 BAU</t>
  </si>
  <si>
    <t>2050 DKI</t>
  </si>
  <si>
    <t>2050 KLIMAT</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</si>
</sst>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43" formatCode="_-* #,##0.00\ _k_r_-;\-* #,##0.00\ _k_r_-;_-* &quot;-&quot;??\ _k_r_-;_-@_-"/>
    <numFmt numFmtId="164" formatCode="#,##0.0"/>
    <numFmt numFmtId="165" formatCode="\±\ #,###,##0"/>
    <numFmt numFmtId="166" formatCode="0.0"/>
    <numFmt numFmtId="167" formatCode="0.0000"/>
    <numFmt numFmtId="168" formatCode="_(&quot;$&quot;* #,##0.00_);_(&quot;$&quot;* \(#,##0.00\);_(&quot;$&quot;* &quot;-&quot;??_);_(@_)"/>
    <numFmt numFmtId="169" formatCode="_-* #,##0.00\ [$€-1]_-;\-* #,##0.00\ [$€-1]_-;_-* &quot;-&quot;??\ [$€-1]_-"/>
    <numFmt numFmtId="170" formatCode="0.000"/>
    <numFmt numFmtId="171" formatCode="#,##0.000"/>
    <numFmt numFmtId="172" formatCode="_(&quot;$&quot;* #,##0_);_(&quot;$&quot;* \(#,##0\);_(&quot;$&quot;* &quot;-&quot;_);_(@_)"/>
    <numFmt numFmtId="173" formatCode="_(* #,##0_);_(* \(#,##0\);_(* &quot;-&quot;_);_(@_)"/>
  </numFmts>
  <fonts count="61">
    <font>
      <sz val="11"/>
      <color theme="1"/>
      <name val="Calibri"/>
      <family val="2"/>
      <scheme val="minor"/>
    </font>
    <font>
      <b/>
      <sz val="11"/>
      <color theme="1"/>
      <name val="Calibri"/>
      <family val="2"/>
      <scheme val="minor"/>
    </font>
    <font>
      <sz val="9"/>
      <color indexed="81"/>
      <name val="Tahoma"/>
      <family val="2"/>
    </font>
    <font>
      <b/>
      <sz val="9"/>
      <color indexed="81"/>
      <name val="Tahoma"/>
      <family val="2"/>
    </font>
    <font>
      <sz val="8"/>
      <name val="Arial"/>
      <family val="2"/>
    </font>
    <font>
      <sz val="11"/>
      <color theme="1"/>
      <name val="Calibri"/>
      <family val="2"/>
      <scheme val="minor"/>
    </font>
    <font>
      <sz val="12"/>
      <color theme="1"/>
      <name val="Calibri"/>
      <family val="2"/>
      <scheme val="minor"/>
    </font>
    <font>
      <b/>
      <sz val="12"/>
      <color theme="1"/>
      <name val="Calibri"/>
      <family val="2"/>
      <scheme val="minor"/>
    </font>
    <font>
      <b/>
      <sz val="10"/>
      <name val="Arial"/>
      <family val="2"/>
    </font>
    <font>
      <i/>
      <sz val="10"/>
      <name val="Arial"/>
      <family val="2"/>
    </font>
    <font>
      <sz val="10"/>
      <name val="Arial"/>
      <family val="2"/>
    </font>
    <font>
      <b/>
      <sz val="8"/>
      <name val="Arial"/>
      <family val="2"/>
    </font>
    <font>
      <sz val="7"/>
      <name val="Arial"/>
      <family val="2"/>
    </font>
    <font>
      <b/>
      <sz val="8"/>
      <name val="Calibri"/>
      <family val="2"/>
    </font>
    <font>
      <b/>
      <sz val="11"/>
      <name val="Arial"/>
      <family val="2"/>
    </font>
    <font>
      <b/>
      <u/>
      <sz val="8"/>
      <name val="Arial"/>
      <family val="2"/>
    </font>
    <font>
      <u/>
      <sz val="8"/>
      <name val="Arial"/>
      <family val="2"/>
    </font>
    <font>
      <u/>
      <sz val="7"/>
      <name val="Arial"/>
      <family val="2"/>
    </font>
    <font>
      <u/>
      <sz val="10"/>
      <name val="Arial"/>
      <family val="2"/>
    </font>
    <font>
      <sz val="8"/>
      <color indexed="8"/>
      <name val="Arial"/>
      <family val="2"/>
    </font>
    <font>
      <sz val="9"/>
      <color theme="1"/>
      <name val="Calibri"/>
      <family val="2"/>
      <scheme val="minor"/>
    </font>
    <font>
      <sz val="9"/>
      <name val="Calibri"/>
      <family val="2"/>
      <scheme val="minor"/>
    </font>
    <font>
      <sz val="11"/>
      <color rgb="FF006100"/>
      <name val="Calibri"/>
      <family val="2"/>
      <scheme val="minor"/>
    </font>
    <font>
      <sz val="14"/>
      <color theme="1"/>
      <name val="Calibri"/>
      <family val="2"/>
      <scheme val="minor"/>
    </font>
    <font>
      <sz val="11"/>
      <color indexed="8"/>
      <name val="Calibri"/>
      <family val="2"/>
    </font>
    <font>
      <b/>
      <sz val="11"/>
      <color indexed="52"/>
      <name val="Calibri"/>
      <family val="2"/>
    </font>
    <font>
      <sz val="11"/>
      <color indexed="17"/>
      <name val="Calibri"/>
      <family val="2"/>
    </font>
    <font>
      <sz val="11"/>
      <color indexed="62"/>
      <name val="Calibri"/>
      <family val="2"/>
    </font>
    <font>
      <sz val="11"/>
      <color indexed="60"/>
      <name val="Calibri"/>
      <family val="2"/>
    </font>
    <font>
      <sz val="10"/>
      <color indexed="8"/>
      <name val="Arial"/>
      <family val="2"/>
    </font>
    <font>
      <sz val="11"/>
      <color theme="1"/>
      <name val="Times New Roman"/>
      <family val="2"/>
    </font>
    <font>
      <sz val="10"/>
      <name val="MS Sans Serif"/>
      <family val="2"/>
    </font>
    <font>
      <b/>
      <sz val="18"/>
      <color indexed="56"/>
      <name val="Cambria"/>
      <family val="2"/>
    </font>
    <font>
      <sz val="10"/>
      <name val="Geneva"/>
      <family val="2"/>
    </font>
    <font>
      <b/>
      <sz val="11"/>
      <color indexed="8"/>
      <name val="Calibri"/>
      <family val="2"/>
    </font>
    <font>
      <sz val="16"/>
      <color theme="1"/>
      <name val="Calibri"/>
      <family val="2"/>
      <scheme val="minor"/>
    </font>
    <font>
      <b/>
      <sz val="9"/>
      <color indexed="9"/>
      <name val="Arial"/>
      <family val="2"/>
    </font>
    <font>
      <sz val="9"/>
      <color indexed="8"/>
      <name val="Arial"/>
      <family val="2"/>
    </font>
    <font>
      <b/>
      <sz val="9"/>
      <color indexed="8"/>
      <name val="Arial"/>
      <family val="2"/>
    </font>
    <font>
      <i/>
      <sz val="9"/>
      <color indexed="8"/>
      <name val="Arial"/>
      <family val="2"/>
    </font>
    <font>
      <sz val="9"/>
      <name val="Arial"/>
      <family val="2"/>
    </font>
    <font>
      <b/>
      <sz val="9"/>
      <name val="Arial"/>
      <family val="2"/>
    </font>
    <font>
      <i/>
      <sz val="9"/>
      <name val="Arial"/>
      <family val="2"/>
    </font>
    <font>
      <b/>
      <sz val="14"/>
      <color theme="1"/>
      <name val="Calibri"/>
      <family val="2"/>
      <scheme val="minor"/>
    </font>
    <font>
      <b/>
      <sz val="10"/>
      <color theme="1"/>
      <name val="Calibri"/>
      <family val="2"/>
      <scheme val="minor"/>
    </font>
    <font>
      <sz val="10"/>
      <color theme="1"/>
      <name val="Calibri"/>
      <family val="2"/>
      <scheme val="minor"/>
    </font>
    <font>
      <sz val="11"/>
      <color rgb="FF000000"/>
      <name val="Calibri"/>
      <family val="2"/>
    </font>
    <font>
      <b/>
      <sz val="11"/>
      <color rgb="FF000000"/>
      <name val="Calibri"/>
      <family val="2"/>
    </font>
    <font>
      <b/>
      <sz val="14"/>
      <color rgb="FF000000"/>
      <name val="Calibri"/>
      <family val="2"/>
    </font>
    <font>
      <sz val="10"/>
      <name val="Univers"/>
    </font>
    <font>
      <sz val="10"/>
      <name val="Arial"/>
      <family val="2"/>
    </font>
    <font>
      <i/>
      <sz val="11"/>
      <color theme="1"/>
      <name val="Calibri"/>
      <family val="2"/>
      <scheme val="minor"/>
    </font>
    <font>
      <sz val="10"/>
      <color rgb="FF000000"/>
      <name val="Calibri"/>
      <family val="2"/>
    </font>
    <font>
      <sz val="11"/>
      <color theme="1"/>
      <name val="Times New Roman"/>
      <family val="1"/>
    </font>
    <font>
      <i/>
      <sz val="11"/>
      <color theme="1"/>
      <name val="Times New Roman"/>
      <family val="1"/>
    </font>
    <font>
      <sz val="11"/>
      <name val="Calibri"/>
      <family val="2"/>
      <scheme val="minor"/>
    </font>
    <font>
      <i/>
      <sz val="14"/>
      <color theme="1"/>
      <name val="Calibri"/>
      <family val="2"/>
      <scheme val="minor"/>
    </font>
    <font>
      <sz val="9"/>
      <color indexed="81"/>
      <name val="Tahoma"/>
      <charset val="1"/>
    </font>
    <font>
      <b/>
      <sz val="9"/>
      <color indexed="81"/>
      <name val="Tahoma"/>
      <charset val="1"/>
    </font>
    <font>
      <sz val="11"/>
      <color theme="0"/>
      <name val="Calibri"/>
      <family val="2"/>
      <scheme val="minor"/>
    </font>
    <font>
      <sz val="11"/>
      <color rgb="FFFF0000"/>
      <name val="Calibri"/>
      <family val="2"/>
      <scheme val="minor"/>
    </font>
  </fonts>
  <fills count="23">
    <fill>
      <patternFill patternType="none"/>
    </fill>
    <fill>
      <patternFill patternType="gray125"/>
    </fill>
    <fill>
      <patternFill patternType="solid">
        <fgColor rgb="FFFFFF00"/>
        <bgColor indexed="64"/>
      </patternFill>
    </fill>
    <fill>
      <patternFill patternType="solid">
        <fgColor rgb="FFC6EFCE"/>
      </patternFill>
    </fill>
    <fill>
      <patternFill patternType="solid">
        <fgColor theme="9" tint="0.79998168889431442"/>
        <bgColor indexed="64"/>
      </patternFill>
    </fill>
    <fill>
      <patternFill patternType="solid">
        <fgColor theme="7" tint="0.59999389629810485"/>
        <bgColor indexed="64"/>
      </patternFill>
    </fill>
    <fill>
      <patternFill patternType="solid">
        <fgColor theme="0" tint="-0.249977111117893"/>
        <bgColor indexed="64"/>
      </patternFill>
    </fill>
    <fill>
      <patternFill patternType="solid">
        <fgColor theme="3" tint="0.79998168889431442"/>
        <bgColor indexed="64"/>
      </patternFill>
    </fill>
    <fill>
      <patternFill patternType="solid">
        <fgColor theme="5" tint="0.59999389629810485"/>
        <bgColor indexed="64"/>
      </patternFill>
    </fill>
    <fill>
      <patternFill patternType="solid">
        <fgColor indexed="26"/>
      </patternFill>
    </fill>
    <fill>
      <patternFill patternType="solid">
        <fgColor indexed="22"/>
      </patternFill>
    </fill>
    <fill>
      <patternFill patternType="solid">
        <fgColor indexed="42"/>
      </patternFill>
    </fill>
    <fill>
      <patternFill patternType="solid">
        <fgColor indexed="47"/>
      </patternFill>
    </fill>
    <fill>
      <patternFill patternType="solid">
        <fgColor indexed="43"/>
      </patternFill>
    </fill>
    <fill>
      <patternFill patternType="solid">
        <fgColor theme="4" tint="-0.249977111117893"/>
        <bgColor indexed="64"/>
      </patternFill>
    </fill>
    <fill>
      <patternFill patternType="solid">
        <fgColor theme="5" tint="0.39997558519241921"/>
        <bgColor indexed="64"/>
      </patternFill>
    </fill>
    <fill>
      <patternFill patternType="solid">
        <fgColor theme="7" tint="0.39997558519241921"/>
        <bgColor indexed="64"/>
      </patternFill>
    </fill>
    <fill>
      <patternFill patternType="solid">
        <fgColor theme="2" tint="-9.9978637043366805E-2"/>
        <bgColor indexed="64"/>
      </patternFill>
    </fill>
    <fill>
      <patternFill patternType="solid">
        <fgColor theme="6" tint="0.59999389629810485"/>
        <bgColor indexed="64"/>
      </patternFill>
    </fill>
    <fill>
      <patternFill patternType="solid">
        <fgColor theme="9" tint="0.39997558519241921"/>
        <bgColor indexed="64"/>
      </patternFill>
    </fill>
    <fill>
      <patternFill patternType="solid">
        <fgColor theme="0"/>
        <bgColor indexed="64"/>
      </patternFill>
    </fill>
    <fill>
      <patternFill patternType="solid">
        <fgColor theme="8" tint="0.39997558519241921"/>
        <bgColor indexed="65"/>
      </patternFill>
    </fill>
    <fill>
      <patternFill patternType="solid">
        <fgColor rgb="FF92D050"/>
        <bgColor indexed="64"/>
      </patternFill>
    </fill>
  </fills>
  <borders count="17">
    <border>
      <left/>
      <right/>
      <top/>
      <bottom/>
      <diagonal/>
    </border>
    <border>
      <left/>
      <right/>
      <top style="thin">
        <color indexed="64"/>
      </top>
      <bottom/>
      <diagonal/>
    </border>
    <border>
      <left/>
      <right/>
      <top/>
      <bottom style="thin">
        <color indexed="64"/>
      </bottom>
      <diagonal/>
    </border>
    <border>
      <left/>
      <right style="thin">
        <color indexed="64"/>
      </right>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56"/>
      </bottom>
      <diagonal/>
    </border>
    <border>
      <left/>
      <right/>
      <top/>
      <bottom style="medium">
        <color theme="4" tint="-0.24994659260841701"/>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s>
  <cellStyleXfs count="39">
    <xf numFmtId="0" fontId="0" fillId="0" borderId="0"/>
    <xf numFmtId="0" fontId="4" fillId="0" borderId="0">
      <alignment horizontal="right"/>
    </xf>
    <xf numFmtId="0" fontId="6" fillId="0" borderId="0"/>
    <xf numFmtId="0" fontId="10" fillId="0" borderId="0"/>
    <xf numFmtId="0" fontId="22" fillId="3" borderId="0" applyNumberFormat="0" applyBorder="0" applyAlignment="0" applyProtection="0"/>
    <xf numFmtId="0" fontId="10" fillId="0" borderId="0"/>
    <xf numFmtId="43" fontId="10" fillId="0" borderId="0" applyFont="0" applyFill="0" applyBorder="0" applyAlignment="0" applyProtection="0"/>
    <xf numFmtId="0" fontId="10" fillId="0" borderId="0"/>
    <xf numFmtId="0" fontId="24" fillId="9" borderId="4" applyNumberFormat="0" applyFont="0" applyAlignment="0" applyProtection="0"/>
    <xf numFmtId="0" fontId="25" fillId="10" borderId="5" applyNumberFormat="0" applyAlignment="0" applyProtection="0"/>
    <xf numFmtId="0" fontId="26" fillId="11" borderId="0" applyNumberFormat="0" applyBorder="0" applyAlignment="0" applyProtection="0"/>
    <xf numFmtId="0" fontId="10" fillId="0" borderId="0">
      <alignment vertical="center"/>
    </xf>
    <xf numFmtId="168" fontId="5" fillId="0" borderId="0" applyFont="0" applyFill="0" applyBorder="0" applyAlignment="0" applyProtection="0"/>
    <xf numFmtId="0" fontId="27" fillId="12" borderId="5" applyNumberFormat="0" applyAlignment="0" applyProtection="0"/>
    <xf numFmtId="0" fontId="28" fillId="13" borderId="0" applyNumberFormat="0" applyBorder="0" applyAlignment="0" applyProtection="0"/>
    <xf numFmtId="0" fontId="29" fillId="0" borderId="0">
      <alignment vertical="top"/>
    </xf>
    <xf numFmtId="0" fontId="29" fillId="0" borderId="0">
      <alignment vertical="top"/>
    </xf>
    <xf numFmtId="0" fontId="10" fillId="0" borderId="0"/>
    <xf numFmtId="0" fontId="10" fillId="0" borderId="0"/>
    <xf numFmtId="0" fontId="30" fillId="0" borderId="0"/>
    <xf numFmtId="0" fontId="10" fillId="0" borderId="0"/>
    <xf numFmtId="0" fontId="31" fillId="0" borderId="0"/>
    <xf numFmtId="169" fontId="10" fillId="0" borderId="0"/>
    <xf numFmtId="9" fontId="10" fillId="0" borderId="0" applyFont="0" applyFill="0" applyBorder="0" applyAlignment="0" applyProtection="0"/>
    <xf numFmtId="9" fontId="10" fillId="0" borderId="0" applyFont="0" applyFill="0" applyBorder="0" applyAlignment="0" applyProtection="0"/>
    <xf numFmtId="9" fontId="24"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0" fontId="32" fillId="0" borderId="0" applyNumberFormat="0" applyFill="0" applyBorder="0" applyAlignment="0" applyProtection="0"/>
    <xf numFmtId="0" fontId="33" fillId="0" borderId="0"/>
    <xf numFmtId="0" fontId="34" fillId="0" borderId="6" applyNumberFormat="0" applyFill="0" applyAlignment="0" applyProtection="0"/>
    <xf numFmtId="43" fontId="10" fillId="0" borderId="0" applyFont="0" applyFill="0" applyBorder="0" applyAlignment="0" applyProtection="0"/>
    <xf numFmtId="43" fontId="24" fillId="0" borderId="0" applyFont="0" applyFill="0" applyBorder="0" applyAlignment="0" applyProtection="0"/>
    <xf numFmtId="0" fontId="29" fillId="0" borderId="0"/>
    <xf numFmtId="0" fontId="46" fillId="0" borderId="0" applyNumberFormat="0" applyBorder="0" applyAlignment="0"/>
    <xf numFmtId="0" fontId="49" fillId="0" borderId="0"/>
    <xf numFmtId="173" fontId="10" fillId="0" borderId="0" applyFont="0" applyFill="0" applyBorder="0" applyAlignment="0" applyProtection="0"/>
    <xf numFmtId="172" fontId="10" fillId="0" borderId="0" applyFont="0" applyFill="0" applyBorder="0" applyAlignment="0" applyProtection="0"/>
    <xf numFmtId="0" fontId="59" fillId="21" borderId="0" applyNumberFormat="0" applyBorder="0" applyAlignment="0" applyProtection="0"/>
  </cellStyleXfs>
  <cellXfs count="293">
    <xf numFmtId="0" fontId="0" fillId="0" borderId="0" xfId="0"/>
    <xf numFmtId="0" fontId="1" fillId="0" borderId="0" xfId="0" applyFont="1"/>
    <xf numFmtId="0" fontId="0" fillId="2" borderId="0" xfId="0" applyFill="1"/>
    <xf numFmtId="0" fontId="0" fillId="0" borderId="0" xfId="0"/>
    <xf numFmtId="0" fontId="1" fillId="0" borderId="0" xfId="0" applyFont="1"/>
    <xf numFmtId="0" fontId="0" fillId="0" borderId="0" xfId="0" applyFont="1"/>
    <xf numFmtId="0" fontId="0" fillId="0" borderId="0" xfId="0" applyAlignment="1">
      <alignment horizontal="left"/>
    </xf>
    <xf numFmtId="0" fontId="23" fillId="0" borderId="2" xfId="0" applyFont="1" applyBorder="1"/>
    <xf numFmtId="0" fontId="0" fillId="4" borderId="0" xfId="0" applyFill="1"/>
    <xf numFmtId="0" fontId="0" fillId="5" borderId="0" xfId="0" applyFill="1"/>
    <xf numFmtId="0" fontId="0" fillId="6" borderId="0" xfId="0" applyFill="1"/>
    <xf numFmtId="0" fontId="0" fillId="5" borderId="0" xfId="0" applyFill="1" applyAlignment="1">
      <alignment wrapText="1"/>
    </xf>
    <xf numFmtId="0" fontId="0" fillId="7" borderId="0" xfId="0" applyFill="1"/>
    <xf numFmtId="0" fontId="22" fillId="3" borderId="0" xfId="4"/>
    <xf numFmtId="0" fontId="0" fillId="8" borderId="0" xfId="0" applyFill="1" applyAlignment="1">
      <alignment wrapText="1"/>
    </xf>
    <xf numFmtId="0" fontId="0" fillId="0" borderId="0" xfId="0"/>
    <xf numFmtId="0" fontId="0" fillId="0" borderId="0" xfId="0"/>
    <xf numFmtId="0" fontId="35" fillId="0" borderId="0" xfId="0" applyFont="1"/>
    <xf numFmtId="0" fontId="1" fillId="0" borderId="7" xfId="0" applyFont="1" applyBorder="1"/>
    <xf numFmtId="2" fontId="0" fillId="0" borderId="7" xfId="0" applyNumberFormat="1" applyBorder="1"/>
    <xf numFmtId="0" fontId="1" fillId="0" borderId="7" xfId="0" applyFont="1" applyBorder="1" applyAlignment="1">
      <alignment wrapText="1"/>
    </xf>
    <xf numFmtId="0" fontId="0" fillId="0" borderId="0" xfId="0" applyAlignment="1">
      <alignment horizontal="center"/>
    </xf>
    <xf numFmtId="2" fontId="0" fillId="0" borderId="0" xfId="0" applyNumberFormat="1" applyAlignment="1">
      <alignment horizontal="center"/>
    </xf>
    <xf numFmtId="3" fontId="0" fillId="0" borderId="0" xfId="0" applyNumberFormat="1"/>
    <xf numFmtId="0" fontId="1" fillId="0" borderId="8" xfId="0" applyFont="1" applyBorder="1" applyAlignment="1">
      <alignment wrapText="1"/>
    </xf>
    <xf numFmtId="0" fontId="1" fillId="0" borderId="1" xfId="0" applyFont="1" applyBorder="1"/>
    <xf numFmtId="0" fontId="1" fillId="0" borderId="9" xfId="0" applyFont="1" applyBorder="1"/>
    <xf numFmtId="0" fontId="1" fillId="0" borderId="10" xfId="0" applyFont="1" applyBorder="1"/>
    <xf numFmtId="0" fontId="1" fillId="0" borderId="0" xfId="0" applyFont="1" applyBorder="1"/>
    <xf numFmtId="0" fontId="1" fillId="0" borderId="3" xfId="0" applyFont="1" applyBorder="1"/>
    <xf numFmtId="9" fontId="1" fillId="0" borderId="0" xfId="0" applyNumberFormat="1" applyFont="1" applyBorder="1"/>
    <xf numFmtId="9" fontId="1" fillId="0" borderId="3" xfId="0" applyNumberFormat="1" applyFont="1" applyBorder="1"/>
    <xf numFmtId="9" fontId="0" fillId="0" borderId="0" xfId="0" applyNumberFormat="1" applyBorder="1"/>
    <xf numFmtId="9" fontId="0" fillId="0" borderId="3" xfId="0" applyNumberFormat="1" applyBorder="1"/>
    <xf numFmtId="0" fontId="1" fillId="0" borderId="11" xfId="0" applyFont="1" applyBorder="1"/>
    <xf numFmtId="9" fontId="1" fillId="0" borderId="2" xfId="0" applyNumberFormat="1" applyFont="1" applyBorder="1"/>
    <xf numFmtId="9" fontId="1" fillId="0" borderId="12" xfId="0" applyNumberFormat="1" applyFont="1" applyBorder="1"/>
    <xf numFmtId="9" fontId="0" fillId="0" borderId="2" xfId="0" applyNumberFormat="1" applyBorder="1"/>
    <xf numFmtId="9" fontId="0" fillId="0" borderId="12" xfId="0" applyNumberFormat="1" applyBorder="1"/>
    <xf numFmtId="9" fontId="0" fillId="0" borderId="0" xfId="0" applyNumberFormat="1"/>
    <xf numFmtId="0" fontId="0" fillId="0" borderId="0" xfId="0" applyBorder="1"/>
    <xf numFmtId="0" fontId="1" fillId="0" borderId="0" xfId="0" applyFont="1" applyFill="1" applyBorder="1"/>
    <xf numFmtId="9" fontId="1" fillId="0" borderId="0" xfId="0" applyNumberFormat="1" applyFont="1" applyFill="1" applyBorder="1"/>
    <xf numFmtId="0" fontId="1" fillId="2" borderId="0" xfId="0" applyFont="1" applyFill="1" applyBorder="1"/>
    <xf numFmtId="3" fontId="38" fillId="0" borderId="13" xfId="7" applyNumberFormat="1" applyFont="1" applyFill="1" applyBorder="1"/>
    <xf numFmtId="3" fontId="38" fillId="0" borderId="13" xfId="7" applyNumberFormat="1" applyFont="1" applyFill="1" applyBorder="1" applyAlignment="1">
      <alignment horizontal="center"/>
    </xf>
    <xf numFmtId="1" fontId="36" fillId="14" borderId="0" xfId="7" applyNumberFormat="1" applyFont="1" applyFill="1" applyBorder="1"/>
    <xf numFmtId="0" fontId="0" fillId="0" borderId="0" xfId="0"/>
    <xf numFmtId="3" fontId="38" fillId="0" borderId="14" xfId="0" applyNumberFormat="1" applyFont="1" applyFill="1" applyBorder="1"/>
    <xf numFmtId="1" fontId="36" fillId="15" borderId="0" xfId="7" applyNumberFormat="1" applyFont="1" applyFill="1" applyBorder="1"/>
    <xf numFmtId="1" fontId="36" fillId="16" borderId="0" xfId="7" applyNumberFormat="1" applyFont="1" applyFill="1" applyBorder="1"/>
    <xf numFmtId="10" fontId="0" fillId="0" borderId="0" xfId="0" applyNumberFormat="1"/>
    <xf numFmtId="0" fontId="41" fillId="0" borderId="2" xfId="0" applyFont="1" applyBorder="1" applyAlignment="1">
      <alignment horizontal="right"/>
    </xf>
    <xf numFmtId="3" fontId="39" fillId="0" borderId="0" xfId="33" applyNumberFormat="1" applyFont="1" applyFill="1" applyBorder="1" applyAlignment="1">
      <alignment horizontal="right" wrapText="1"/>
    </xf>
    <xf numFmtId="0" fontId="40" fillId="0" borderId="0" xfId="0" applyFont="1"/>
    <xf numFmtId="1" fontId="40" fillId="0" borderId="0" xfId="0" applyNumberFormat="1" applyFont="1" applyBorder="1"/>
    <xf numFmtId="1" fontId="42" fillId="0" borderId="0" xfId="0" applyNumberFormat="1" applyFont="1" applyFill="1" applyBorder="1"/>
    <xf numFmtId="1" fontId="42" fillId="0" borderId="2" xfId="0" applyNumberFormat="1" applyFont="1" applyFill="1" applyBorder="1"/>
    <xf numFmtId="1" fontId="42" fillId="0" borderId="0" xfId="0" applyNumberFormat="1" applyFont="1" applyFill="1"/>
    <xf numFmtId="3" fontId="40" fillId="0" borderId="0" xfId="0" applyNumberFormat="1" applyFont="1"/>
    <xf numFmtId="3" fontId="40" fillId="0" borderId="0" xfId="0" applyNumberFormat="1" applyFont="1" applyAlignment="1">
      <alignment horizontal="right"/>
    </xf>
    <xf numFmtId="3" fontId="40" fillId="0" borderId="0" xfId="0" applyNumberFormat="1" applyFont="1" applyAlignment="1" applyProtection="1">
      <alignment horizontal="right"/>
      <protection locked="0"/>
    </xf>
    <xf numFmtId="3" fontId="37" fillId="0" borderId="0" xfId="0" applyNumberFormat="1" applyFont="1" applyFill="1" applyBorder="1" applyAlignment="1">
      <alignment vertical="top"/>
    </xf>
    <xf numFmtId="3" fontId="40" fillId="0" borderId="0" xfId="0" applyNumberFormat="1" applyFont="1" applyBorder="1"/>
    <xf numFmtId="3" fontId="10" fillId="0" borderId="0" xfId="0" applyNumberFormat="1" applyFont="1" applyBorder="1"/>
    <xf numFmtId="3" fontId="10" fillId="0" borderId="2" xfId="0" applyNumberFormat="1" applyFont="1" applyBorder="1"/>
    <xf numFmtId="0" fontId="0" fillId="17" borderId="0" xfId="0" applyFill="1"/>
    <xf numFmtId="2" fontId="0" fillId="0" borderId="0" xfId="0" applyNumberFormat="1" applyFont="1"/>
    <xf numFmtId="0" fontId="1" fillId="0" borderId="0" xfId="0" applyFont="1" applyFill="1"/>
    <xf numFmtId="2" fontId="0" fillId="0" borderId="0" xfId="0" applyNumberFormat="1" applyFont="1" applyFill="1"/>
    <xf numFmtId="0" fontId="0" fillId="0" borderId="0" xfId="0" applyFont="1" applyFill="1"/>
    <xf numFmtId="0" fontId="0" fillId="0" borderId="0" xfId="0" applyFill="1"/>
    <xf numFmtId="0" fontId="43" fillId="0" borderId="0" xfId="0" applyFont="1"/>
    <xf numFmtId="0" fontId="0" fillId="0" borderId="0" xfId="0"/>
    <xf numFmtId="0" fontId="1" fillId="0" borderId="0" xfId="0" applyFont="1"/>
    <xf numFmtId="0" fontId="6" fillId="0" borderId="0" xfId="2"/>
    <xf numFmtId="3" fontId="8" fillId="0" borderId="0" xfId="2" applyNumberFormat="1" applyFont="1"/>
    <xf numFmtId="3" fontId="6" fillId="0" borderId="0" xfId="2" applyNumberFormat="1"/>
    <xf numFmtId="0" fontId="8" fillId="0" borderId="0" xfId="2" applyFont="1"/>
    <xf numFmtId="0" fontId="9" fillId="0" borderId="0" xfId="2" applyFont="1"/>
    <xf numFmtId="0" fontId="10" fillId="0" borderId="0" xfId="2" applyFont="1"/>
    <xf numFmtId="0" fontId="0" fillId="2" borderId="0" xfId="0" applyFill="1"/>
    <xf numFmtId="0" fontId="0" fillId="0" borderId="0" xfId="0" applyFont="1"/>
    <xf numFmtId="0" fontId="1" fillId="0" borderId="0" xfId="0" applyFont="1" applyAlignment="1">
      <alignment horizontal="left"/>
    </xf>
    <xf numFmtId="1" fontId="0" fillId="0" borderId="0" xfId="0" applyNumberFormat="1" applyAlignment="1">
      <alignment horizontal="left"/>
    </xf>
    <xf numFmtId="171" fontId="8" fillId="0" borderId="0" xfId="2" applyNumberFormat="1" applyFont="1"/>
    <xf numFmtId="2" fontId="0" fillId="18" borderId="0" xfId="0" applyNumberFormat="1" applyFont="1" applyFill="1"/>
    <xf numFmtId="0" fontId="44" fillId="0" borderId="0" xfId="0" applyFont="1"/>
    <xf numFmtId="0" fontId="45" fillId="0" borderId="0" xfId="0" applyFont="1"/>
    <xf numFmtId="0" fontId="23" fillId="0" borderId="0" xfId="0" applyFont="1" applyAlignment="1">
      <alignment horizontal="left"/>
    </xf>
    <xf numFmtId="0" fontId="46" fillId="0" borderId="0" xfId="34" applyFill="1" applyProtection="1"/>
    <xf numFmtId="0" fontId="47" fillId="0" borderId="0" xfId="34" applyFont="1" applyFill="1" applyProtection="1"/>
    <xf numFmtId="0" fontId="48" fillId="0" borderId="0" xfId="34" applyFont="1" applyFill="1" applyProtection="1"/>
    <xf numFmtId="3" fontId="46" fillId="0" borderId="0" xfId="34" applyNumberFormat="1" applyFill="1" applyProtection="1"/>
    <xf numFmtId="0" fontId="0" fillId="18" borderId="0" xfId="0" applyFont="1" applyFill="1"/>
    <xf numFmtId="0" fontId="0" fillId="0" borderId="0" xfId="0" applyFill="1" applyAlignment="1">
      <alignment horizontal="left"/>
    </xf>
    <xf numFmtId="0" fontId="50" fillId="0" borderId="0" xfId="0" applyFont="1" applyAlignment="1" applyProtection="1">
      <alignment horizontal="left"/>
      <protection locked="0"/>
    </xf>
    <xf numFmtId="3" fontId="10" fillId="0" borderId="0" xfId="0" applyNumberFormat="1" applyFont="1" applyAlignment="1">
      <alignment horizontal="right"/>
    </xf>
    <xf numFmtId="3" fontId="50" fillId="0" borderId="0" xfId="0" applyNumberFormat="1" applyFont="1" applyAlignment="1" applyProtection="1">
      <alignment horizontal="right"/>
      <protection locked="0"/>
    </xf>
    <xf numFmtId="3" fontId="0" fillId="0" borderId="0" xfId="0" applyNumberFormat="1" applyAlignment="1" applyProtection="1">
      <alignment horizontal="right"/>
      <protection locked="0"/>
    </xf>
    <xf numFmtId="3" fontId="38" fillId="2" borderId="14" xfId="0" applyNumberFormat="1" applyFont="1" applyFill="1" applyBorder="1"/>
    <xf numFmtId="2" fontId="1" fillId="18" borderId="0" xfId="0" applyNumberFormat="1" applyFont="1" applyFill="1"/>
    <xf numFmtId="0" fontId="0" fillId="15" borderId="0" xfId="0" applyFill="1"/>
    <xf numFmtId="10" fontId="0" fillId="7" borderId="0" xfId="0" applyNumberFormat="1" applyFill="1"/>
    <xf numFmtId="10" fontId="0" fillId="2" borderId="0" xfId="0" applyNumberFormat="1" applyFill="1"/>
    <xf numFmtId="2" fontId="0" fillId="18" borderId="0" xfId="0" applyNumberFormat="1" applyFont="1" applyFill="1" applyAlignment="1">
      <alignment horizontal="center"/>
    </xf>
    <xf numFmtId="2" fontId="0" fillId="18" borderId="0" xfId="0" applyNumberFormat="1" applyFont="1" applyFill="1" applyAlignment="1">
      <alignment horizontal="right"/>
    </xf>
    <xf numFmtId="0" fontId="0" fillId="0" borderId="0" xfId="0"/>
    <xf numFmtId="0" fontId="1" fillId="0" borderId="0" xfId="0" applyFont="1"/>
    <xf numFmtId="0" fontId="8" fillId="0" borderId="0" xfId="3" applyFont="1"/>
    <xf numFmtId="0" fontId="10" fillId="0" borderId="0" xfId="3"/>
    <xf numFmtId="0" fontId="11" fillId="0" borderId="2" xfId="3" applyFont="1" applyBorder="1" applyAlignment="1">
      <alignment horizontal="right" wrapText="1"/>
    </xf>
    <xf numFmtId="0" fontId="10" fillId="0" borderId="0" xfId="3" applyBorder="1"/>
    <xf numFmtId="0" fontId="11" fillId="0" borderId="0" xfId="3" applyFont="1" applyBorder="1" applyAlignment="1">
      <alignment wrapText="1"/>
    </xf>
    <xf numFmtId="165" fontId="12" fillId="0" borderId="0" xfId="3" applyNumberFormat="1" applyFont="1" applyBorder="1" applyAlignment="1">
      <alignment horizontal="right" vertical="top"/>
    </xf>
    <xf numFmtId="0" fontId="12" fillId="0" borderId="0" xfId="3" applyFont="1" applyAlignment="1">
      <alignment vertical="top"/>
    </xf>
    <xf numFmtId="0" fontId="11" fillId="0" borderId="0" xfId="3" applyFont="1" applyBorder="1" applyAlignment="1">
      <alignment vertical="top"/>
    </xf>
    <xf numFmtId="0" fontId="12" fillId="0" borderId="0" xfId="3" applyFont="1" applyBorder="1" applyAlignment="1">
      <alignment vertical="top"/>
    </xf>
    <xf numFmtId="3" fontId="10" fillId="0" borderId="0" xfId="3" applyNumberFormat="1"/>
    <xf numFmtId="0" fontId="11" fillId="0" borderId="2" xfId="3" applyFont="1" applyBorder="1" applyAlignment="1">
      <alignment vertical="top"/>
    </xf>
    <xf numFmtId="0" fontId="14" fillId="0" borderId="2" xfId="3" applyFont="1" applyBorder="1" applyAlignment="1">
      <alignment wrapText="1"/>
    </xf>
    <xf numFmtId="165" fontId="12" fillId="0" borderId="2" xfId="3" applyNumberFormat="1" applyFont="1" applyBorder="1" applyAlignment="1">
      <alignment horizontal="right" vertical="top"/>
    </xf>
    <xf numFmtId="0" fontId="14" fillId="0" borderId="0" xfId="3" applyFont="1" applyBorder="1" applyAlignment="1">
      <alignment wrapText="1"/>
    </xf>
    <xf numFmtId="3" fontId="12" fillId="0" borderId="0" xfId="3" applyNumberFormat="1" applyFont="1" applyBorder="1" applyAlignment="1">
      <alignment horizontal="right" vertical="top"/>
    </xf>
    <xf numFmtId="3" fontId="12" fillId="0" borderId="0" xfId="3" applyNumberFormat="1" applyFont="1" applyFill="1" applyBorder="1" applyAlignment="1">
      <alignment horizontal="right" vertical="top"/>
    </xf>
    <xf numFmtId="0" fontId="8" fillId="0" borderId="0" xfId="3" applyFont="1" applyFill="1"/>
    <xf numFmtId="3" fontId="11" fillId="0" borderId="0" xfId="3" applyNumberFormat="1" applyFont="1" applyBorder="1" applyAlignment="1">
      <alignment horizontal="right"/>
    </xf>
    <xf numFmtId="165" fontId="12" fillId="0" borderId="0" xfId="3" applyNumberFormat="1" applyFont="1" applyAlignment="1">
      <alignment horizontal="right" vertical="top"/>
    </xf>
    <xf numFmtId="165" fontId="12" fillId="0" borderId="0" xfId="3" applyNumberFormat="1" applyFont="1" applyFill="1" applyAlignment="1">
      <alignment horizontal="right" vertical="top"/>
    </xf>
    <xf numFmtId="0" fontId="10" fillId="0" borderId="0" xfId="3" applyFill="1"/>
    <xf numFmtId="0" fontId="11" fillId="2" borderId="0" xfId="3" applyFont="1" applyFill="1" applyBorder="1" applyAlignment="1">
      <alignment vertical="top"/>
    </xf>
    <xf numFmtId="3" fontId="12" fillId="2" borderId="0" xfId="3" applyNumberFormat="1" applyFont="1" applyFill="1" applyBorder="1" applyAlignment="1">
      <alignment horizontal="right" vertical="top"/>
    </xf>
    <xf numFmtId="0" fontId="10" fillId="2" borderId="0" xfId="3" applyFill="1"/>
    <xf numFmtId="4" fontId="11" fillId="2" borderId="0" xfId="3" applyNumberFormat="1" applyFont="1" applyFill="1" applyBorder="1" applyAlignment="1">
      <alignment horizontal="right"/>
    </xf>
    <xf numFmtId="0" fontId="8" fillId="0" borderId="0" xfId="3" applyFont="1" applyAlignment="1">
      <alignment horizontal="center"/>
    </xf>
    <xf numFmtId="0" fontId="11" fillId="0" borderId="0" xfId="3" applyNumberFormat="1" applyFont="1" applyFill="1" applyBorder="1" applyAlignment="1">
      <alignment horizontal="center" wrapText="1"/>
    </xf>
    <xf numFmtId="0" fontId="10" fillId="0" borderId="0" xfId="3" applyAlignment="1">
      <alignment horizontal="center"/>
    </xf>
    <xf numFmtId="0" fontId="10" fillId="0" borderId="0" xfId="3" applyBorder="1" applyAlignment="1">
      <alignment horizontal="center"/>
    </xf>
    <xf numFmtId="0" fontId="12" fillId="0" borderId="0" xfId="3" applyFont="1" applyAlignment="1">
      <alignment horizontal="center" vertical="top"/>
    </xf>
    <xf numFmtId="3" fontId="12" fillId="0" borderId="0" xfId="3" applyNumberFormat="1" applyFont="1" applyFill="1" applyBorder="1" applyAlignment="1">
      <alignment horizontal="center" vertical="top"/>
    </xf>
    <xf numFmtId="0" fontId="8" fillId="0" borderId="0" xfId="3" applyFont="1" applyFill="1" applyAlignment="1">
      <alignment horizontal="center"/>
    </xf>
    <xf numFmtId="165" fontId="12" fillId="0" borderId="0" xfId="3" applyNumberFormat="1" applyFont="1" applyFill="1" applyAlignment="1">
      <alignment horizontal="center" vertical="top"/>
    </xf>
    <xf numFmtId="0" fontId="11" fillId="0" borderId="0" xfId="3" applyFont="1" applyFill="1" applyBorder="1" applyAlignment="1">
      <alignment vertical="top"/>
    </xf>
    <xf numFmtId="3" fontId="11" fillId="0" borderId="0" xfId="3" applyNumberFormat="1" applyFont="1" applyFill="1" applyBorder="1" applyAlignment="1">
      <alignment horizontal="right"/>
    </xf>
    <xf numFmtId="4" fontId="11" fillId="0" borderId="0" xfId="3" applyNumberFormat="1" applyFont="1" applyFill="1" applyBorder="1" applyAlignment="1">
      <alignment horizontal="right"/>
    </xf>
    <xf numFmtId="3" fontId="12" fillId="2" borderId="0" xfId="3" applyNumberFormat="1" applyFont="1" applyFill="1" applyBorder="1" applyAlignment="1">
      <alignment horizontal="center" vertical="top"/>
    </xf>
    <xf numFmtId="165" fontId="12" fillId="2" borderId="0" xfId="3" applyNumberFormat="1" applyFont="1" applyFill="1" applyAlignment="1">
      <alignment horizontal="right" vertical="top"/>
    </xf>
    <xf numFmtId="0" fontId="11" fillId="0" borderId="0" xfId="3" applyFont="1" applyBorder="1" applyAlignment="1">
      <alignment horizontal="right" wrapText="1"/>
    </xf>
    <xf numFmtId="0" fontId="11" fillId="0" borderId="0" xfId="3" applyFont="1" applyAlignment="1">
      <alignment horizontal="left" wrapText="1"/>
    </xf>
    <xf numFmtId="0" fontId="11" fillId="0" borderId="0" xfId="3" applyFont="1" applyAlignment="1">
      <alignment wrapText="1"/>
    </xf>
    <xf numFmtId="0" fontId="11" fillId="0" borderId="1" xfId="3" applyFont="1" applyBorder="1" applyAlignment="1">
      <alignment wrapText="1"/>
    </xf>
    <xf numFmtId="0" fontId="10" fillId="0" borderId="0" xfId="3" applyAlignment="1">
      <alignment wrapText="1"/>
    </xf>
    <xf numFmtId="0" fontId="4" fillId="0" borderId="0" xfId="3" applyNumberFormat="1" applyFont="1" applyBorder="1"/>
    <xf numFmtId="0" fontId="4" fillId="0" borderId="0" xfId="3" applyFont="1" applyBorder="1"/>
    <xf numFmtId="0" fontId="4" fillId="0" borderId="2" xfId="3" applyFont="1" applyBorder="1"/>
    <xf numFmtId="0" fontId="4" fillId="0" borderId="0" xfId="3" applyFont="1"/>
    <xf numFmtId="0" fontId="4" fillId="0" borderId="0" xfId="3" applyFont="1" applyBorder="1" applyAlignment="1">
      <alignment horizontal="right"/>
    </xf>
    <xf numFmtId="164" fontId="4" fillId="0" borderId="0" xfId="3" applyNumberFormat="1" applyFont="1"/>
    <xf numFmtId="4" fontId="4" fillId="0" borderId="0" xfId="3" applyNumberFormat="1" applyFont="1" applyAlignment="1">
      <alignment horizontal="right"/>
    </xf>
    <xf numFmtId="3" fontId="4" fillId="0" borderId="0" xfId="3" applyNumberFormat="1" applyFont="1" applyBorder="1" applyAlignment="1">
      <alignment horizontal="right"/>
    </xf>
    <xf numFmtId="0" fontId="4" fillId="0" borderId="0" xfId="3" applyFont="1" applyFill="1"/>
    <xf numFmtId="0" fontId="4" fillId="2" borderId="0" xfId="3" applyFont="1" applyFill="1"/>
    <xf numFmtId="0" fontId="10" fillId="0" borderId="0" xfId="3" applyNumberFormat="1"/>
    <xf numFmtId="0" fontId="18" fillId="0" borderId="0" xfId="3" applyFont="1" applyFill="1"/>
    <xf numFmtId="3" fontId="17" fillId="0" borderId="0" xfId="3" applyNumberFormat="1" applyFont="1" applyFill="1" applyBorder="1" applyAlignment="1">
      <alignment horizontal="right" vertical="top"/>
    </xf>
    <xf numFmtId="165" fontId="17" fillId="0" borderId="0" xfId="3" applyNumberFormat="1" applyFont="1" applyFill="1" applyAlignment="1">
      <alignment horizontal="right" vertical="top"/>
    </xf>
    <xf numFmtId="49" fontId="11" fillId="0" borderId="0" xfId="3" applyNumberFormat="1" applyFont="1" applyFill="1" applyBorder="1" applyAlignment="1">
      <alignment horizontal="left" wrapText="1"/>
    </xf>
    <xf numFmtId="166" fontId="11" fillId="0" borderId="0" xfId="3" applyNumberFormat="1" applyFont="1" applyAlignment="1">
      <alignment horizontal="right"/>
    </xf>
    <xf numFmtId="1" fontId="5" fillId="0" borderId="0" xfId="3" applyNumberFormat="1" applyFont="1"/>
    <xf numFmtId="49" fontId="11" fillId="0" borderId="0" xfId="3" applyNumberFormat="1" applyFont="1" applyBorder="1" applyAlignment="1">
      <alignment horizontal="left" wrapText="1"/>
    </xf>
    <xf numFmtId="49" fontId="4" fillId="0" borderId="0" xfId="3" applyNumberFormat="1" applyFont="1" applyBorder="1" applyAlignment="1">
      <alignment horizontal="left" wrapText="1"/>
    </xf>
    <xf numFmtId="166" fontId="4" fillId="0" borderId="0" xfId="3" applyNumberFormat="1" applyFont="1" applyAlignment="1">
      <alignment horizontal="right"/>
    </xf>
    <xf numFmtId="49" fontId="4" fillId="0" borderId="0" xfId="3" applyNumberFormat="1" applyFont="1" applyFill="1" applyBorder="1" applyAlignment="1">
      <alignment horizontal="left" wrapText="1"/>
    </xf>
    <xf numFmtId="49" fontId="11" fillId="0" borderId="0" xfId="3" applyNumberFormat="1" applyFont="1" applyBorder="1" applyAlignment="1">
      <alignment wrapText="1"/>
    </xf>
    <xf numFmtId="49" fontId="4" fillId="0" borderId="0" xfId="3" applyNumberFormat="1" applyFont="1" applyBorder="1" applyAlignment="1">
      <alignment wrapText="1"/>
    </xf>
    <xf numFmtId="49" fontId="4" fillId="0" borderId="0" xfId="3" applyNumberFormat="1" applyFont="1" applyFill="1" applyBorder="1" applyAlignment="1">
      <alignment wrapText="1"/>
    </xf>
    <xf numFmtId="49" fontId="19" fillId="0" borderId="0" xfId="3" applyNumberFormat="1" applyFont="1" applyBorder="1" applyAlignment="1">
      <alignment horizontal="left" wrapText="1"/>
    </xf>
    <xf numFmtId="3" fontId="17" fillId="0" borderId="0" xfId="3" applyNumberFormat="1" applyFont="1" applyFill="1" applyBorder="1" applyAlignment="1">
      <alignment horizontal="center" vertical="top"/>
    </xf>
    <xf numFmtId="0" fontId="20" fillId="0" borderId="0" xfId="2" applyFont="1" applyAlignment="1">
      <alignment horizontal="center"/>
    </xf>
    <xf numFmtId="1" fontId="10" fillId="0" borderId="0" xfId="3" applyNumberFormat="1"/>
    <xf numFmtId="0" fontId="10" fillId="2" borderId="0" xfId="3" applyFill="1" applyAlignment="1">
      <alignment horizontal="center"/>
    </xf>
    <xf numFmtId="1" fontId="10" fillId="2" borderId="0" xfId="3" applyNumberFormat="1" applyFill="1"/>
    <xf numFmtId="0" fontId="15" fillId="0" borderId="0" xfId="3" applyFont="1" applyFill="1" applyBorder="1" applyAlignment="1">
      <alignment vertical="top"/>
    </xf>
    <xf numFmtId="0" fontId="16" fillId="0" borderId="0" xfId="3" applyFont="1" applyFill="1"/>
    <xf numFmtId="4" fontId="15" fillId="0" borderId="0" xfId="3" applyNumberFormat="1" applyFont="1" applyFill="1" applyBorder="1" applyAlignment="1">
      <alignment horizontal="right"/>
    </xf>
    <xf numFmtId="2" fontId="0" fillId="18" borderId="0" xfId="0" applyNumberFormat="1" applyFont="1" applyFill="1"/>
    <xf numFmtId="2" fontId="0" fillId="0" borderId="0" xfId="0" applyNumberFormat="1"/>
    <xf numFmtId="2" fontId="0" fillId="0" borderId="0" xfId="0" applyNumberFormat="1" applyAlignment="1">
      <alignment horizontal="left"/>
    </xf>
    <xf numFmtId="2" fontId="51" fillId="18" borderId="0" xfId="0" applyNumberFormat="1" applyFont="1" applyFill="1" applyAlignment="1">
      <alignment horizontal="right"/>
    </xf>
    <xf numFmtId="2" fontId="0" fillId="0" borderId="0" xfId="0" applyNumberFormat="1" applyFont="1" applyFill="1" applyAlignment="1">
      <alignment horizontal="center"/>
    </xf>
    <xf numFmtId="2" fontId="51" fillId="18" borderId="0" xfId="0" applyNumberFormat="1" applyFont="1" applyFill="1" applyAlignment="1">
      <alignment horizontal="center"/>
    </xf>
    <xf numFmtId="0" fontId="52" fillId="0" borderId="15" xfId="0" applyFont="1" applyBorder="1" applyAlignment="1">
      <alignment horizontal="right" vertical="center" wrapText="1"/>
    </xf>
    <xf numFmtId="0" fontId="52" fillId="0" borderId="16" xfId="0" applyFont="1" applyBorder="1" applyAlignment="1">
      <alignment horizontal="right" vertical="center" wrapText="1"/>
    </xf>
    <xf numFmtId="1" fontId="0" fillId="0" borderId="0" xfId="0" applyNumberFormat="1"/>
    <xf numFmtId="0" fontId="53" fillId="0" borderId="0" xfId="0" applyFont="1" applyAlignment="1">
      <alignment horizontal="left" vertical="center" indent="3"/>
    </xf>
    <xf numFmtId="0" fontId="55" fillId="19" borderId="0" xfId="0" applyFont="1" applyFill="1"/>
    <xf numFmtId="167" fontId="0" fillId="0" borderId="0" xfId="0" applyNumberFormat="1" applyAlignment="1">
      <alignment horizontal="left"/>
    </xf>
    <xf numFmtId="1" fontId="0" fillId="7" borderId="0" xfId="0" applyNumberFormat="1" applyFill="1"/>
    <xf numFmtId="1" fontId="22" fillId="3" borderId="0" xfId="4" applyNumberFormat="1"/>
    <xf numFmtId="170" fontId="0" fillId="0" borderId="0" xfId="0" applyNumberFormat="1" applyAlignment="1">
      <alignment horizontal="left"/>
    </xf>
    <xf numFmtId="1" fontId="0" fillId="2" borderId="0" xfId="0" applyNumberFormat="1" applyFill="1"/>
    <xf numFmtId="0" fontId="56" fillId="0" borderId="0" xfId="0" applyFont="1"/>
    <xf numFmtId="2" fontId="1" fillId="18" borderId="0" xfId="0" applyNumberFormat="1" applyFont="1" applyFill="1" applyAlignment="1">
      <alignment horizontal="center"/>
    </xf>
    <xf numFmtId="0" fontId="1" fillId="0" borderId="0" xfId="0" applyFont="1" applyAlignment="1">
      <alignment horizontal="center"/>
    </xf>
    <xf numFmtId="2" fontId="1" fillId="0" borderId="0" xfId="0" applyNumberFormat="1" applyFont="1" applyAlignment="1">
      <alignment horizontal="center"/>
    </xf>
    <xf numFmtId="170" fontId="0" fillId="0" borderId="0" xfId="0" applyNumberFormat="1"/>
    <xf numFmtId="170" fontId="0" fillId="0" borderId="0" xfId="0" applyNumberFormat="1" applyAlignment="1">
      <alignment horizontal="center"/>
    </xf>
    <xf numFmtId="170" fontId="1" fillId="0" borderId="0" xfId="0" applyNumberFormat="1" applyFont="1" applyAlignment="1">
      <alignment horizontal="center"/>
    </xf>
    <xf numFmtId="1" fontId="1" fillId="0" borderId="0" xfId="0" applyNumberFormat="1" applyFont="1" applyAlignment="1">
      <alignment horizontal="center"/>
    </xf>
    <xf numFmtId="0" fontId="6" fillId="20" borderId="0" xfId="2" applyFill="1"/>
    <xf numFmtId="1" fontId="6" fillId="20" borderId="0" xfId="2" applyNumberFormat="1" applyFill="1"/>
    <xf numFmtId="2" fontId="6" fillId="20" borderId="0" xfId="2" applyNumberFormat="1" applyFill="1"/>
    <xf numFmtId="0" fontId="7" fillId="20" borderId="0" xfId="2" applyFont="1" applyFill="1"/>
    <xf numFmtId="1" fontId="7" fillId="20" borderId="0" xfId="2" applyNumberFormat="1" applyFont="1" applyFill="1"/>
    <xf numFmtId="0" fontId="1" fillId="20" borderId="0" xfId="2" applyFont="1" applyFill="1"/>
    <xf numFmtId="0" fontId="0" fillId="20" borderId="0" xfId="0" applyFont="1" applyFill="1"/>
    <xf numFmtId="1" fontId="1" fillId="0" borderId="0" xfId="0" applyNumberFormat="1" applyFont="1" applyAlignment="1">
      <alignment horizontal="left"/>
    </xf>
    <xf numFmtId="0" fontId="6" fillId="20" borderId="0" xfId="2" applyFont="1" applyFill="1"/>
    <xf numFmtId="3" fontId="10" fillId="0" borderId="0" xfId="2" applyNumberFormat="1" applyFont="1"/>
    <xf numFmtId="3" fontId="10" fillId="2" borderId="0" xfId="2" applyNumberFormat="1" applyFont="1" applyFill="1"/>
    <xf numFmtId="0" fontId="0" fillId="20" borderId="0" xfId="0" applyFill="1"/>
    <xf numFmtId="0" fontId="1" fillId="20" borderId="0" xfId="0" applyFont="1" applyFill="1"/>
    <xf numFmtId="10" fontId="0" fillId="20" borderId="0" xfId="0" applyNumberFormat="1" applyFill="1"/>
    <xf numFmtId="1" fontId="1" fillId="20" borderId="0" xfId="2" applyNumberFormat="1" applyFont="1" applyFill="1"/>
    <xf numFmtId="1" fontId="6" fillId="20" borderId="0" xfId="2" applyNumberFormat="1" applyFont="1" applyFill="1"/>
    <xf numFmtId="170" fontId="0" fillId="20" borderId="0" xfId="0" applyNumberFormat="1" applyFont="1" applyFill="1"/>
    <xf numFmtId="3" fontId="10" fillId="20" borderId="0" xfId="2" applyNumberFormat="1" applyFont="1" applyFill="1"/>
    <xf numFmtId="0" fontId="7" fillId="0" borderId="0" xfId="2" applyFont="1" applyAlignment="1">
      <alignment horizontal="left"/>
    </xf>
    <xf numFmtId="1" fontId="6" fillId="0" borderId="0" xfId="2" applyNumberFormat="1"/>
    <xf numFmtId="0" fontId="7" fillId="0" borderId="0" xfId="2" applyFont="1"/>
    <xf numFmtId="3" fontId="7" fillId="0" borderId="0" xfId="2" applyNumberFormat="1" applyFont="1"/>
    <xf numFmtId="16" fontId="1" fillId="2" borderId="0" xfId="2" applyNumberFormat="1" applyFont="1" applyFill="1"/>
    <xf numFmtId="1" fontId="7" fillId="2" borderId="0" xfId="2" applyNumberFormat="1" applyFont="1" applyFill="1"/>
    <xf numFmtId="0" fontId="6" fillId="2" borderId="0" xfId="2" applyFill="1"/>
    <xf numFmtId="0" fontId="0" fillId="2" borderId="0" xfId="0" applyFont="1" applyFill="1"/>
    <xf numFmtId="2" fontId="0" fillId="0" borderId="0" xfId="0" applyNumberFormat="1" applyAlignment="1">
      <alignment horizontal="right"/>
    </xf>
    <xf numFmtId="170" fontId="10" fillId="0" borderId="0" xfId="3" applyNumberFormat="1" applyAlignment="1">
      <alignment horizontal="center"/>
    </xf>
    <xf numFmtId="170" fontId="21" fillId="0" borderId="3" xfId="0" applyNumberFormat="1" applyFont="1" applyBorder="1" applyAlignment="1" applyProtection="1">
      <alignment horizontal="center" vertical="top" wrapText="1"/>
      <protection locked="0"/>
    </xf>
    <xf numFmtId="170" fontId="10" fillId="2" borderId="0" xfId="3" applyNumberFormat="1" applyFill="1" applyAlignment="1">
      <alignment horizontal="center"/>
    </xf>
    <xf numFmtId="170" fontId="10" fillId="0" borderId="0" xfId="3" applyNumberFormat="1"/>
    <xf numFmtId="0" fontId="55" fillId="21" borderId="0" xfId="38" applyFont="1"/>
    <xf numFmtId="0" fontId="11" fillId="0" borderId="0" xfId="3" applyFont="1" applyAlignment="1">
      <alignment horizontal="left" wrapText="1"/>
    </xf>
    <xf numFmtId="0" fontId="11" fillId="0" borderId="0" xfId="3" applyFont="1" applyAlignment="1">
      <alignment wrapText="1"/>
    </xf>
    <xf numFmtId="0" fontId="11" fillId="0" borderId="1" xfId="3" applyFont="1" applyBorder="1" applyAlignment="1">
      <alignment wrapText="1"/>
    </xf>
    <xf numFmtId="0" fontId="10" fillId="0" borderId="0" xfId="3" applyAlignment="1">
      <alignment wrapText="1"/>
    </xf>
    <xf numFmtId="166" fontId="4" fillId="0" borderId="0" xfId="3" applyNumberFormat="1" applyFont="1"/>
    <xf numFmtId="166" fontId="11" fillId="0" borderId="0" xfId="3" applyNumberFormat="1" applyFont="1" applyFill="1" applyAlignment="1">
      <alignment horizontal="right"/>
    </xf>
    <xf numFmtId="1" fontId="5" fillId="0" borderId="0" xfId="3" applyNumberFormat="1" applyFont="1" applyFill="1"/>
    <xf numFmtId="0" fontId="10" fillId="0" borderId="0" xfId="3" applyFill="1" applyAlignment="1">
      <alignment horizontal="center"/>
    </xf>
    <xf numFmtId="170" fontId="10" fillId="0" borderId="0" xfId="3" applyNumberFormat="1" applyFill="1" applyAlignment="1">
      <alignment horizontal="center"/>
    </xf>
    <xf numFmtId="1" fontId="10" fillId="0" borderId="0" xfId="3" applyNumberFormat="1" applyFill="1"/>
    <xf numFmtId="166" fontId="4" fillId="0" borderId="0" xfId="3" applyNumberFormat="1" applyFont="1" applyFill="1" applyAlignment="1">
      <alignment horizontal="right"/>
    </xf>
    <xf numFmtId="0" fontId="20" fillId="0" borderId="0" xfId="2" applyFont="1" applyFill="1" applyAlignment="1">
      <alignment horizontal="center"/>
    </xf>
    <xf numFmtId="170" fontId="21" fillId="0" borderId="3" xfId="0" applyNumberFormat="1" applyFont="1" applyFill="1" applyBorder="1" applyAlignment="1" applyProtection="1">
      <alignment horizontal="center" vertical="top" wrapText="1"/>
      <protection locked="0"/>
    </xf>
    <xf numFmtId="0" fontId="11" fillId="6" borderId="2" xfId="3" applyFont="1" applyFill="1" applyBorder="1" applyAlignment="1">
      <alignment horizontal="right" wrapText="1"/>
    </xf>
    <xf numFmtId="0" fontId="4" fillId="6" borderId="0" xfId="3" applyFont="1" applyFill="1" applyBorder="1" applyAlignment="1">
      <alignment horizontal="right"/>
    </xf>
    <xf numFmtId="0" fontId="4" fillId="6" borderId="0" xfId="3" applyFont="1" applyFill="1"/>
    <xf numFmtId="164" fontId="4" fillId="6" borderId="0" xfId="3" applyNumberFormat="1" applyFont="1" applyFill="1"/>
    <xf numFmtId="4" fontId="4" fillId="6" borderId="0" xfId="3" applyNumberFormat="1" applyFont="1" applyFill="1" applyAlignment="1">
      <alignment horizontal="right"/>
    </xf>
    <xf numFmtId="165" fontId="12" fillId="6" borderId="0" xfId="3" applyNumberFormat="1" applyFont="1" applyFill="1" applyBorder="1" applyAlignment="1">
      <alignment horizontal="right" vertical="top"/>
    </xf>
    <xf numFmtId="3" fontId="4" fillId="6" borderId="0" xfId="3" applyNumberFormat="1" applyFont="1" applyFill="1" applyBorder="1" applyAlignment="1">
      <alignment horizontal="right"/>
    </xf>
    <xf numFmtId="165" fontId="12" fillId="6" borderId="2" xfId="3" applyNumberFormat="1" applyFont="1" applyFill="1" applyBorder="1" applyAlignment="1">
      <alignment horizontal="right" vertical="top"/>
    </xf>
    <xf numFmtId="3" fontId="12" fillId="6" borderId="0" xfId="3" applyNumberFormat="1" applyFont="1" applyFill="1" applyBorder="1" applyAlignment="1">
      <alignment horizontal="right" vertical="top"/>
    </xf>
    <xf numFmtId="3" fontId="11" fillId="6" borderId="0" xfId="3" applyNumberFormat="1" applyFont="1" applyFill="1" applyBorder="1" applyAlignment="1">
      <alignment horizontal="right"/>
    </xf>
    <xf numFmtId="4" fontId="11" fillId="6" borderId="0" xfId="3" applyNumberFormat="1" applyFont="1" applyFill="1" applyBorder="1" applyAlignment="1">
      <alignment horizontal="right"/>
    </xf>
    <xf numFmtId="4" fontId="15" fillId="6" borderId="0" xfId="3" applyNumberFormat="1" applyFont="1" applyFill="1" applyBorder="1" applyAlignment="1">
      <alignment horizontal="right"/>
    </xf>
    <xf numFmtId="166" fontId="11" fillId="6" borderId="0" xfId="3" applyNumberFormat="1" applyFont="1" applyFill="1" applyAlignment="1">
      <alignment horizontal="right"/>
    </xf>
    <xf numFmtId="166" fontId="4" fillId="6" borderId="0" xfId="3" applyNumberFormat="1" applyFont="1" applyFill="1" applyAlignment="1">
      <alignment horizontal="right"/>
    </xf>
    <xf numFmtId="166" fontId="4" fillId="6" borderId="0" xfId="3" applyNumberFormat="1" applyFont="1" applyFill="1"/>
    <xf numFmtId="0" fontId="4" fillId="22" borderId="0" xfId="3" applyFont="1" applyFill="1"/>
    <xf numFmtId="166" fontId="4" fillId="22" borderId="0" xfId="3" applyNumberFormat="1" applyFont="1" applyFill="1"/>
    <xf numFmtId="0" fontId="4" fillId="6" borderId="2" xfId="3" applyFont="1" applyFill="1" applyBorder="1"/>
    <xf numFmtId="49" fontId="11" fillId="22" borderId="0" xfId="3" applyNumberFormat="1" applyFont="1" applyFill="1" applyBorder="1" applyAlignment="1">
      <alignment horizontal="left" wrapText="1"/>
    </xf>
    <xf numFmtId="49" fontId="11" fillId="22" borderId="0" xfId="3" applyNumberFormat="1" applyFont="1" applyFill="1" applyBorder="1" applyAlignment="1">
      <alignment wrapText="1"/>
    </xf>
    <xf numFmtId="49" fontId="4" fillId="22" borderId="0" xfId="3" applyNumberFormat="1" applyFont="1" applyFill="1" applyBorder="1" applyAlignment="1">
      <alignment wrapText="1"/>
    </xf>
    <xf numFmtId="49" fontId="4" fillId="22" borderId="0" xfId="3" applyNumberFormat="1" applyFont="1" applyFill="1" applyBorder="1" applyAlignment="1">
      <alignment horizontal="left" wrapText="1"/>
    </xf>
    <xf numFmtId="2" fontId="60" fillId="18" borderId="0" xfId="0" applyNumberFormat="1" applyFont="1" applyFill="1" applyAlignment="1">
      <alignment horizontal="center"/>
    </xf>
    <xf numFmtId="0" fontId="1" fillId="22" borderId="0" xfId="0" applyFont="1" applyFill="1"/>
    <xf numFmtId="0" fontId="0" fillId="0" borderId="0" xfId="0" applyAlignment="1"/>
    <xf numFmtId="0" fontId="11" fillId="0" borderId="0" xfId="3" applyFont="1" applyAlignment="1">
      <alignment horizontal="left" wrapText="1"/>
    </xf>
    <xf numFmtId="0" fontId="11" fillId="0" borderId="0" xfId="3" applyFont="1" applyAlignment="1">
      <alignment wrapText="1"/>
    </xf>
    <xf numFmtId="0" fontId="11" fillId="0" borderId="1" xfId="3" applyFont="1" applyBorder="1" applyAlignment="1">
      <alignment horizontal="center" wrapText="1"/>
    </xf>
    <xf numFmtId="0" fontId="11" fillId="0" borderId="0" xfId="3" applyFont="1" applyBorder="1" applyAlignment="1">
      <alignment horizontal="center" wrapText="1"/>
    </xf>
    <xf numFmtId="0" fontId="11" fillId="0" borderId="1" xfId="3" applyFont="1" applyBorder="1" applyAlignment="1">
      <alignment wrapText="1"/>
    </xf>
    <xf numFmtId="0" fontId="10" fillId="0" borderId="0" xfId="3" applyAlignment="1">
      <alignment wrapText="1"/>
    </xf>
    <xf numFmtId="0" fontId="8" fillId="0" borderId="0" xfId="3" applyFont="1" applyAlignment="1">
      <alignment wrapText="1"/>
    </xf>
    <xf numFmtId="0" fontId="11" fillId="0" borderId="0" xfId="3" applyFont="1" applyBorder="1" applyAlignment="1">
      <alignment horizontal="left" wrapText="1"/>
    </xf>
    <xf numFmtId="0" fontId="10" fillId="0" borderId="0" xfId="3" applyAlignment="1"/>
    <xf numFmtId="0" fontId="8" fillId="0" borderId="0" xfId="3" applyFont="1" applyAlignment="1">
      <alignment horizontal="left" wrapText="1"/>
    </xf>
    <xf numFmtId="0" fontId="11" fillId="6" borderId="0" xfId="3" applyFont="1" applyFill="1" applyBorder="1" applyAlignment="1">
      <alignment horizontal="left" wrapText="1"/>
    </xf>
    <xf numFmtId="0" fontId="11" fillId="6" borderId="0" xfId="3" applyFont="1" applyFill="1" applyAlignment="1">
      <alignment horizontal="left" wrapText="1"/>
    </xf>
    <xf numFmtId="0" fontId="10" fillId="6" borderId="0" xfId="3" applyFill="1" applyAlignment="1"/>
    <xf numFmtId="0" fontId="11" fillId="6" borderId="0" xfId="3" applyFont="1" applyFill="1" applyAlignment="1">
      <alignment wrapText="1"/>
    </xf>
  </cellXfs>
  <cellStyles count="39">
    <cellStyle name="60% - Dekorfärg5" xfId="38" builtinId="48"/>
    <cellStyle name="Anteckning 2" xfId="8"/>
    <cellStyle name="Beräkning 2" xfId="9"/>
    <cellStyle name="Bra" xfId="4" builtinId="26"/>
    <cellStyle name="Bra 2" xfId="10"/>
    <cellStyle name="bstitutes]_x000d__x000a_; The following mappings take Word for MS-DOS names, PostScript names, and TrueType_x000d__x000a_; names into account" xfId="11"/>
    <cellStyle name="Currency 2" xfId="12"/>
    <cellStyle name="Indata 2" xfId="13"/>
    <cellStyle name="Neutral 2" xfId="14"/>
    <cellStyle name="Normal" xfId="0" builtinId="0"/>
    <cellStyle name="Normal 10" xfId="35"/>
    <cellStyle name="Normal 2" xfId="2"/>
    <cellStyle name="Normal 2 2" xfId="15"/>
    <cellStyle name="Normal 2 2 2" xfId="16"/>
    <cellStyle name="Normal 2 3" xfId="7"/>
    <cellStyle name="Normal 3" xfId="3"/>
    <cellStyle name="Normal 3 2" xfId="17"/>
    <cellStyle name="Normal 4" xfId="18"/>
    <cellStyle name="Normal 5" xfId="19"/>
    <cellStyle name="Normal 5 2" xfId="20"/>
    <cellStyle name="Normal 6" xfId="21"/>
    <cellStyle name="Normal 7" xfId="5"/>
    <cellStyle name="Normal 8" xfId="34"/>
    <cellStyle name="Normal 9" xfId="22"/>
    <cellStyle name="Normal_Underlag_1" xfId="33"/>
    <cellStyle name="Procent 2" xfId="23"/>
    <cellStyle name="Procent 2 2" xfId="24"/>
    <cellStyle name="Procent 3" xfId="25"/>
    <cellStyle name="Procent 4" xfId="26"/>
    <cellStyle name="Procent 5" xfId="27"/>
    <cellStyle name="Rubrik 5" xfId="28"/>
    <cellStyle name="Style 1" xfId="29"/>
    <cellStyle name="Style7" xfId="1"/>
    <cellStyle name="Summa 2" xfId="30"/>
    <cellStyle name="Tusental (0)_1 Dag" xfId="36"/>
    <cellStyle name="Tusental 2" xfId="31"/>
    <cellStyle name="Tusental 3" xfId="32"/>
    <cellStyle name="Tusental 4" xfId="6"/>
    <cellStyle name="Valuta (0)_1 Dag" xfId="37"/>
  </cellStyles>
  <dxfs count="2">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'Typhushåll 2010'!$A$36</c:f>
              <c:strCache>
                <c:ptCount val="1"/>
                <c:pt idx="0">
                  <c:v>Offentlig konsumtion</c:v>
                </c:pt>
              </c:strCache>
            </c:strRef>
          </c:tx>
          <c:invertIfNegative val="0"/>
          <c:cat>
            <c:strRef>
              <c:f>'Typhushåll 2010'!$B$35:$D$35</c:f>
              <c:strCache>
                <c:ptCount val="3"/>
                <c:pt idx="0">
                  <c:v>Höginkomstfamilj</c:v>
                </c:pt>
                <c:pt idx="1">
                  <c:v>Låginkomstfamilj</c:v>
                </c:pt>
                <c:pt idx="2">
                  <c:v>Medelgöteborgaren</c:v>
                </c:pt>
              </c:strCache>
            </c:strRef>
          </c:cat>
          <c:val>
            <c:numRef>
              <c:f>'Typhushåll 2010'!$B$36:$D$36</c:f>
              <c:numCache>
                <c:formatCode>0.000</c:formatCode>
                <c:ptCount val="3"/>
                <c:pt idx="0">
                  <c:v>1.74</c:v>
                </c:pt>
                <c:pt idx="1">
                  <c:v>1.74</c:v>
                </c:pt>
                <c:pt idx="2">
                  <c:v>1.74</c:v>
                </c:pt>
              </c:numCache>
            </c:numRef>
          </c:val>
        </c:ser>
        <c:ser>
          <c:idx val="1"/>
          <c:order val="1"/>
          <c:tx>
            <c:strRef>
              <c:f>'Typhushåll 2010'!$A$37</c:f>
              <c:strCache>
                <c:ptCount val="1"/>
                <c:pt idx="0">
                  <c:v>Mat</c:v>
                </c:pt>
              </c:strCache>
            </c:strRef>
          </c:tx>
          <c:invertIfNegative val="0"/>
          <c:cat>
            <c:strRef>
              <c:f>'Typhushåll 2010'!$B$35:$D$35</c:f>
              <c:strCache>
                <c:ptCount val="3"/>
                <c:pt idx="0">
                  <c:v>Höginkomstfamilj</c:v>
                </c:pt>
                <c:pt idx="1">
                  <c:v>Låginkomstfamilj</c:v>
                </c:pt>
                <c:pt idx="2">
                  <c:v>Medelgöteborgaren</c:v>
                </c:pt>
              </c:strCache>
            </c:strRef>
          </c:cat>
          <c:val>
            <c:numRef>
              <c:f>'Typhushåll 2010'!$B$37:$D$37</c:f>
              <c:numCache>
                <c:formatCode>0.000</c:formatCode>
                <c:ptCount val="3"/>
                <c:pt idx="0">
                  <c:v>1.494</c:v>
                </c:pt>
                <c:pt idx="1">
                  <c:v>1.494</c:v>
                </c:pt>
                <c:pt idx="2">
                  <c:v>1.494</c:v>
                </c:pt>
              </c:numCache>
            </c:numRef>
          </c:val>
        </c:ser>
        <c:ser>
          <c:idx val="2"/>
          <c:order val="2"/>
          <c:tx>
            <c:strRef>
              <c:f>'Typhushåll 2010'!$A$38</c:f>
              <c:strCache>
                <c:ptCount val="1"/>
                <c:pt idx="0">
                  <c:v>Uppvärmning</c:v>
                </c:pt>
              </c:strCache>
            </c:strRef>
          </c:tx>
          <c:invertIfNegative val="0"/>
          <c:cat>
            <c:strRef>
              <c:f>'Typhushåll 2010'!$B$35:$D$35</c:f>
              <c:strCache>
                <c:ptCount val="3"/>
                <c:pt idx="0">
                  <c:v>Höginkomstfamilj</c:v>
                </c:pt>
                <c:pt idx="1">
                  <c:v>Låginkomstfamilj</c:v>
                </c:pt>
                <c:pt idx="2">
                  <c:v>Medelgöteborgaren</c:v>
                </c:pt>
              </c:strCache>
            </c:strRef>
          </c:cat>
          <c:val>
            <c:numRef>
              <c:f>'Typhushåll 2010'!$B$38:$D$38</c:f>
              <c:numCache>
                <c:formatCode>0.000</c:formatCode>
                <c:ptCount val="3"/>
                <c:pt idx="0">
                  <c:v>0.45208800000000005</c:v>
                </c:pt>
                <c:pt idx="1">
                  <c:v>0.33328533333333332</c:v>
                </c:pt>
                <c:pt idx="2">
                  <c:v>0.34180594013254889</c:v>
                </c:pt>
              </c:numCache>
            </c:numRef>
          </c:val>
        </c:ser>
        <c:ser>
          <c:idx val="3"/>
          <c:order val="3"/>
          <c:tx>
            <c:strRef>
              <c:f>'Typhushåll 2010'!$A$39</c:f>
              <c:strCache>
                <c:ptCount val="1"/>
                <c:pt idx="0">
                  <c:v>Hushållsel</c:v>
                </c:pt>
              </c:strCache>
            </c:strRef>
          </c:tx>
          <c:invertIfNegative val="0"/>
          <c:cat>
            <c:strRef>
              <c:f>'Typhushåll 2010'!$B$35:$D$35</c:f>
              <c:strCache>
                <c:ptCount val="3"/>
                <c:pt idx="0">
                  <c:v>Höginkomstfamilj</c:v>
                </c:pt>
                <c:pt idx="1">
                  <c:v>Låginkomstfamilj</c:v>
                </c:pt>
                <c:pt idx="2">
                  <c:v>Medelgöteborgaren</c:v>
                </c:pt>
              </c:strCache>
            </c:strRef>
          </c:cat>
          <c:val>
            <c:numRef>
              <c:f>'Typhushåll 2010'!$B$39:$D$39</c:f>
              <c:numCache>
                <c:formatCode>0.000</c:formatCode>
                <c:ptCount val="3"/>
                <c:pt idx="0">
                  <c:v>0.17400599999999999</c:v>
                </c:pt>
                <c:pt idx="1">
                  <c:v>0.15581999999999999</c:v>
                </c:pt>
                <c:pt idx="2">
                  <c:v>0.20710092157226895</c:v>
                </c:pt>
              </c:numCache>
            </c:numRef>
          </c:val>
        </c:ser>
        <c:ser>
          <c:idx val="4"/>
          <c:order val="4"/>
          <c:tx>
            <c:strRef>
              <c:f>'Typhushåll 2010'!$A$40</c:f>
              <c:strCache>
                <c:ptCount val="1"/>
                <c:pt idx="0">
                  <c:v>Kollektivtrafik</c:v>
                </c:pt>
              </c:strCache>
            </c:strRef>
          </c:tx>
          <c:invertIfNegative val="0"/>
          <c:cat>
            <c:strRef>
              <c:f>'Typhushåll 2010'!$B$35:$D$35</c:f>
              <c:strCache>
                <c:ptCount val="3"/>
                <c:pt idx="0">
                  <c:v>Höginkomstfamilj</c:v>
                </c:pt>
                <c:pt idx="1">
                  <c:v>Låginkomstfamilj</c:v>
                </c:pt>
                <c:pt idx="2">
                  <c:v>Medelgöteborgaren</c:v>
                </c:pt>
              </c:strCache>
            </c:strRef>
          </c:cat>
          <c:val>
            <c:numRef>
              <c:f>'Typhushåll 2010'!$B$40:$D$40</c:f>
              <c:numCache>
                <c:formatCode>0.000</c:formatCode>
                <c:ptCount val="3"/>
                <c:pt idx="0">
                  <c:v>6.4712447053100905E-2</c:v>
                </c:pt>
                <c:pt idx="1">
                  <c:v>9.873699864330894E-2</c:v>
                </c:pt>
                <c:pt idx="2">
                  <c:v>3.2243393821109259E-2</c:v>
                </c:pt>
              </c:numCache>
            </c:numRef>
          </c:val>
        </c:ser>
        <c:ser>
          <c:idx val="5"/>
          <c:order val="5"/>
          <c:tx>
            <c:strRef>
              <c:f>'Typhushåll 2010'!$A$41</c:f>
              <c:strCache>
                <c:ptCount val="1"/>
                <c:pt idx="0">
                  <c:v>Bil</c:v>
                </c:pt>
              </c:strCache>
            </c:strRef>
          </c:tx>
          <c:invertIfNegative val="0"/>
          <c:cat>
            <c:strRef>
              <c:f>'Typhushåll 2010'!$B$35:$D$35</c:f>
              <c:strCache>
                <c:ptCount val="3"/>
                <c:pt idx="0">
                  <c:v>Höginkomstfamilj</c:v>
                </c:pt>
                <c:pt idx="1">
                  <c:v>Låginkomstfamilj</c:v>
                </c:pt>
                <c:pt idx="2">
                  <c:v>Medelgöteborgaren</c:v>
                </c:pt>
              </c:strCache>
            </c:strRef>
          </c:cat>
          <c:val>
            <c:numRef>
              <c:f>'Typhushåll 2010'!$B$41:$D$41</c:f>
              <c:numCache>
                <c:formatCode>0.000</c:formatCode>
                <c:ptCount val="3"/>
                <c:pt idx="0">
                  <c:v>1.8377392484938055</c:v>
                </c:pt>
                <c:pt idx="1">
                  <c:v>0</c:v>
                </c:pt>
                <c:pt idx="2">
                  <c:v>1.0195370156700798</c:v>
                </c:pt>
              </c:numCache>
            </c:numRef>
          </c:val>
        </c:ser>
        <c:ser>
          <c:idx val="6"/>
          <c:order val="6"/>
          <c:tx>
            <c:strRef>
              <c:f>'Typhushåll 2010'!$A$42</c:f>
              <c:strCache>
                <c:ptCount val="1"/>
                <c:pt idx="0">
                  <c:v>Övrig konsumtion</c:v>
                </c:pt>
              </c:strCache>
            </c:strRef>
          </c:tx>
          <c:invertIfNegative val="0"/>
          <c:cat>
            <c:strRef>
              <c:f>'Typhushåll 2010'!$B$35:$D$35</c:f>
              <c:strCache>
                <c:ptCount val="3"/>
                <c:pt idx="0">
                  <c:v>Höginkomstfamilj</c:v>
                </c:pt>
                <c:pt idx="1">
                  <c:v>Låginkomstfamilj</c:v>
                </c:pt>
                <c:pt idx="2">
                  <c:v>Medelgöteborgaren</c:v>
                </c:pt>
              </c:strCache>
            </c:strRef>
          </c:cat>
          <c:val>
            <c:numRef>
              <c:f>'Typhushåll 2010'!$B$42:$D$42</c:f>
              <c:numCache>
                <c:formatCode>0.000</c:formatCode>
                <c:ptCount val="3"/>
                <c:pt idx="0">
                  <c:v>1.871841920140823</c:v>
                </c:pt>
                <c:pt idx="1">
                  <c:v>1.0516295508096496</c:v>
                </c:pt>
                <c:pt idx="2">
                  <c:v>1.4427434716591943</c:v>
                </c:pt>
              </c:numCache>
            </c:numRef>
          </c:val>
        </c:ser>
        <c:ser>
          <c:idx val="7"/>
          <c:order val="7"/>
          <c:tx>
            <c:strRef>
              <c:f>'Typhushåll 2010'!$A$43</c:f>
              <c:strCache>
                <c:ptCount val="1"/>
                <c:pt idx="0">
                  <c:v>Flyg</c:v>
                </c:pt>
              </c:strCache>
            </c:strRef>
          </c:tx>
          <c:invertIfNegative val="0"/>
          <c:cat>
            <c:strRef>
              <c:f>'Typhushåll 2010'!$B$35:$D$35</c:f>
              <c:strCache>
                <c:ptCount val="3"/>
                <c:pt idx="0">
                  <c:v>Höginkomstfamilj</c:v>
                </c:pt>
                <c:pt idx="1">
                  <c:v>Låginkomstfamilj</c:v>
                </c:pt>
                <c:pt idx="2">
                  <c:v>Medelgöteborgaren</c:v>
                </c:pt>
              </c:strCache>
            </c:strRef>
          </c:cat>
          <c:val>
            <c:numRef>
              <c:f>'Typhushåll 2010'!$B$43:$D$43</c:f>
              <c:numCache>
                <c:formatCode>0.000</c:formatCode>
                <c:ptCount val="3"/>
                <c:pt idx="0">
                  <c:v>2.4088865484645052</c:v>
                </c:pt>
                <c:pt idx="1">
                  <c:v>0.53769789028225567</c:v>
                </c:pt>
                <c:pt idx="2">
                  <c:v>1.0753957805645113</c:v>
                </c:pt>
              </c:numCache>
            </c:numRef>
          </c:val>
        </c:ser>
        <c:dLbls>
          <c:showLegendKey val="0"/>
          <c:showVal val="0"/>
          <c:showCatName val="0"/>
          <c:showSerName val="0"/>
          <c:showPercent val="0"/>
          <c:showBubbleSize val="0"/>
        </c:dLbls>
        <c:gapWidth val="150"/>
        <c:overlap val="100"/>
        <c:axId val="60876288"/>
        <c:axId val="60877824"/>
      </c:barChart>
      <c:catAx>
        <c:axId val="60876288"/>
        <c:scaling>
          <c:orientation val="minMax"/>
        </c:scaling>
        <c:delete val="0"/>
        <c:axPos val="b"/>
        <c:majorTickMark val="out"/>
        <c:minorTickMark val="none"/>
        <c:tickLblPos val="nextTo"/>
        <c:crossAx val="60877824"/>
        <c:crosses val="autoZero"/>
        <c:auto val="1"/>
        <c:lblAlgn val="ctr"/>
        <c:lblOffset val="100"/>
        <c:noMultiLvlLbl val="0"/>
      </c:catAx>
      <c:valAx>
        <c:axId val="60877824"/>
        <c:scaling>
          <c:orientation val="minMax"/>
          <c:max val="10"/>
        </c:scaling>
        <c:delete val="0"/>
        <c:axPos val="l"/>
        <c:majorGridlines/>
        <c:title>
          <c:tx>
            <c:rich>
              <a:bodyPr rot="-5400000" vert="horz"/>
              <a:lstStyle/>
              <a:p>
                <a:pPr>
                  <a:defRPr/>
                </a:pPr>
                <a:r>
                  <a:rPr lang="sv-SE"/>
                  <a:t>ton CO2 ekv/person</a:t>
                </a:r>
              </a:p>
            </c:rich>
          </c:tx>
          <c:layout>
            <c:manualLayout>
              <c:xMode val="edge"/>
              <c:yMode val="edge"/>
              <c:x val="1.5598223299010701E-2"/>
              <c:y val="0.17744748737570573"/>
            </c:manualLayout>
          </c:layout>
          <c:overlay val="0"/>
        </c:title>
        <c:numFmt formatCode="0" sourceLinked="0"/>
        <c:majorTickMark val="out"/>
        <c:minorTickMark val="none"/>
        <c:tickLblPos val="nextTo"/>
        <c:crossAx val="60876288"/>
        <c:crosses val="autoZero"/>
        <c:crossBetween val="between"/>
      </c:valAx>
    </c:plotArea>
    <c:legend>
      <c:legendPos val="r"/>
      <c:layout>
        <c:manualLayout>
          <c:xMode val="edge"/>
          <c:yMode val="edge"/>
          <c:x val="0.70693546119235096"/>
          <c:y val="4.7543190659140547E-2"/>
          <c:w val="0.26473066828184938"/>
          <c:h val="0.79560477271263008"/>
        </c:manualLayout>
      </c:layout>
      <c:overlay val="0"/>
    </c:legend>
    <c:plotVisOnly val="1"/>
    <c:dispBlanksAs val="gap"/>
    <c:showDLblsOverMax val="0"/>
  </c:chart>
  <c:spPr>
    <a:ln>
      <a:noFill/>
    </a:ln>
  </c:sp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strRef>
              <c:f>Bakgrundsdata!$A$23</c:f>
              <c:strCache>
                <c:ptCount val="1"/>
                <c:pt idx="0">
                  <c:v>År</c:v>
                </c:pt>
              </c:strCache>
            </c:strRef>
          </c:tx>
          <c:marker>
            <c:symbol val="none"/>
          </c:marker>
          <c:val>
            <c:numRef>
              <c:f>Bakgrundsdata!$B$23:$LA$23</c:f>
              <c:numCache>
                <c:formatCode>General</c:formatCode>
                <c:ptCount val="312"/>
                <c:pt idx="0">
                  <c:v>1749</c:v>
                </c:pt>
                <c:pt idx="1">
                  <c:v>1750</c:v>
                </c:pt>
                <c:pt idx="2">
                  <c:v>1751</c:v>
                </c:pt>
                <c:pt idx="3">
                  <c:v>1752</c:v>
                </c:pt>
                <c:pt idx="4">
                  <c:v>1753</c:v>
                </c:pt>
                <c:pt idx="5">
                  <c:v>1754</c:v>
                </c:pt>
                <c:pt idx="6">
                  <c:v>1755</c:v>
                </c:pt>
                <c:pt idx="7">
                  <c:v>1756</c:v>
                </c:pt>
                <c:pt idx="8">
                  <c:v>1757</c:v>
                </c:pt>
                <c:pt idx="9">
                  <c:v>1758</c:v>
                </c:pt>
                <c:pt idx="10">
                  <c:v>1759</c:v>
                </c:pt>
                <c:pt idx="11">
                  <c:v>1760</c:v>
                </c:pt>
                <c:pt idx="12">
                  <c:v>1761</c:v>
                </c:pt>
                <c:pt idx="13">
                  <c:v>1762</c:v>
                </c:pt>
                <c:pt idx="14">
                  <c:v>1763</c:v>
                </c:pt>
                <c:pt idx="15">
                  <c:v>1764</c:v>
                </c:pt>
                <c:pt idx="16">
                  <c:v>1765</c:v>
                </c:pt>
                <c:pt idx="17">
                  <c:v>1766</c:v>
                </c:pt>
                <c:pt idx="18">
                  <c:v>1767</c:v>
                </c:pt>
                <c:pt idx="19">
                  <c:v>1768</c:v>
                </c:pt>
                <c:pt idx="20">
                  <c:v>1769</c:v>
                </c:pt>
                <c:pt idx="21">
                  <c:v>1770</c:v>
                </c:pt>
                <c:pt idx="22">
                  <c:v>1771</c:v>
                </c:pt>
                <c:pt idx="23">
                  <c:v>1772</c:v>
                </c:pt>
                <c:pt idx="24">
                  <c:v>1773</c:v>
                </c:pt>
                <c:pt idx="25">
                  <c:v>1774</c:v>
                </c:pt>
                <c:pt idx="26">
                  <c:v>1775</c:v>
                </c:pt>
                <c:pt idx="27">
                  <c:v>1776</c:v>
                </c:pt>
                <c:pt idx="28">
                  <c:v>1777</c:v>
                </c:pt>
                <c:pt idx="29">
                  <c:v>1778</c:v>
                </c:pt>
                <c:pt idx="30">
                  <c:v>1779</c:v>
                </c:pt>
                <c:pt idx="31">
                  <c:v>1780</c:v>
                </c:pt>
                <c:pt idx="32">
                  <c:v>1781</c:v>
                </c:pt>
                <c:pt idx="33">
                  <c:v>1782</c:v>
                </c:pt>
                <c:pt idx="34">
                  <c:v>1783</c:v>
                </c:pt>
                <c:pt idx="35">
                  <c:v>1784</c:v>
                </c:pt>
                <c:pt idx="36">
                  <c:v>1785</c:v>
                </c:pt>
                <c:pt idx="37">
                  <c:v>1786</c:v>
                </c:pt>
                <c:pt idx="38">
                  <c:v>1787</c:v>
                </c:pt>
                <c:pt idx="39">
                  <c:v>1788</c:v>
                </c:pt>
                <c:pt idx="40">
                  <c:v>1789</c:v>
                </c:pt>
                <c:pt idx="41">
                  <c:v>1790</c:v>
                </c:pt>
                <c:pt idx="42">
                  <c:v>1791</c:v>
                </c:pt>
                <c:pt idx="43">
                  <c:v>1792</c:v>
                </c:pt>
                <c:pt idx="44">
                  <c:v>1793</c:v>
                </c:pt>
                <c:pt idx="45">
                  <c:v>1794</c:v>
                </c:pt>
                <c:pt idx="46">
                  <c:v>1795</c:v>
                </c:pt>
                <c:pt idx="47">
                  <c:v>1796</c:v>
                </c:pt>
                <c:pt idx="48">
                  <c:v>1797</c:v>
                </c:pt>
                <c:pt idx="49">
                  <c:v>1798</c:v>
                </c:pt>
                <c:pt idx="50">
                  <c:v>1799</c:v>
                </c:pt>
                <c:pt idx="51">
                  <c:v>1800</c:v>
                </c:pt>
                <c:pt idx="52">
                  <c:v>1801</c:v>
                </c:pt>
                <c:pt idx="53">
                  <c:v>1802</c:v>
                </c:pt>
                <c:pt idx="54">
                  <c:v>1803</c:v>
                </c:pt>
                <c:pt idx="55">
                  <c:v>1804</c:v>
                </c:pt>
                <c:pt idx="56">
                  <c:v>1805</c:v>
                </c:pt>
                <c:pt idx="57">
                  <c:v>1806</c:v>
                </c:pt>
                <c:pt idx="58">
                  <c:v>1807</c:v>
                </c:pt>
                <c:pt idx="59">
                  <c:v>1808</c:v>
                </c:pt>
                <c:pt idx="60">
                  <c:v>1809</c:v>
                </c:pt>
                <c:pt idx="61">
                  <c:v>1810</c:v>
                </c:pt>
                <c:pt idx="62">
                  <c:v>1811</c:v>
                </c:pt>
                <c:pt idx="63">
                  <c:v>1812</c:v>
                </c:pt>
                <c:pt idx="64">
                  <c:v>1813</c:v>
                </c:pt>
                <c:pt idx="65">
                  <c:v>1814</c:v>
                </c:pt>
                <c:pt idx="66">
                  <c:v>1815</c:v>
                </c:pt>
                <c:pt idx="67">
                  <c:v>1816</c:v>
                </c:pt>
                <c:pt idx="68">
                  <c:v>1817</c:v>
                </c:pt>
                <c:pt idx="69">
                  <c:v>1818</c:v>
                </c:pt>
                <c:pt idx="70">
                  <c:v>1819</c:v>
                </c:pt>
                <c:pt idx="71">
                  <c:v>1820</c:v>
                </c:pt>
                <c:pt idx="72">
                  <c:v>1821</c:v>
                </c:pt>
                <c:pt idx="73">
                  <c:v>1822</c:v>
                </c:pt>
                <c:pt idx="74">
                  <c:v>1823</c:v>
                </c:pt>
                <c:pt idx="75">
                  <c:v>1824</c:v>
                </c:pt>
                <c:pt idx="76">
                  <c:v>1825</c:v>
                </c:pt>
                <c:pt idx="77">
                  <c:v>1826</c:v>
                </c:pt>
                <c:pt idx="78">
                  <c:v>1827</c:v>
                </c:pt>
                <c:pt idx="79">
                  <c:v>1828</c:v>
                </c:pt>
                <c:pt idx="80">
                  <c:v>1829</c:v>
                </c:pt>
                <c:pt idx="81">
                  <c:v>1830</c:v>
                </c:pt>
                <c:pt idx="82">
                  <c:v>1831</c:v>
                </c:pt>
                <c:pt idx="83">
                  <c:v>1832</c:v>
                </c:pt>
                <c:pt idx="84">
                  <c:v>1833</c:v>
                </c:pt>
                <c:pt idx="85">
                  <c:v>1834</c:v>
                </c:pt>
                <c:pt idx="86">
                  <c:v>1835</c:v>
                </c:pt>
                <c:pt idx="87">
                  <c:v>1836</c:v>
                </c:pt>
                <c:pt idx="88">
                  <c:v>1837</c:v>
                </c:pt>
                <c:pt idx="89">
                  <c:v>1838</c:v>
                </c:pt>
                <c:pt idx="90">
                  <c:v>1839</c:v>
                </c:pt>
                <c:pt idx="91">
                  <c:v>1840</c:v>
                </c:pt>
                <c:pt idx="92">
                  <c:v>1841</c:v>
                </c:pt>
                <c:pt idx="93">
                  <c:v>1842</c:v>
                </c:pt>
                <c:pt idx="94">
                  <c:v>1843</c:v>
                </c:pt>
                <c:pt idx="95">
                  <c:v>1844</c:v>
                </c:pt>
                <c:pt idx="96">
                  <c:v>1845</c:v>
                </c:pt>
                <c:pt idx="97">
                  <c:v>1846</c:v>
                </c:pt>
                <c:pt idx="98">
                  <c:v>1847</c:v>
                </c:pt>
                <c:pt idx="99">
                  <c:v>1848</c:v>
                </c:pt>
                <c:pt idx="100">
                  <c:v>1849</c:v>
                </c:pt>
                <c:pt idx="101">
                  <c:v>1850</c:v>
                </c:pt>
                <c:pt idx="102">
                  <c:v>1851</c:v>
                </c:pt>
                <c:pt idx="103">
                  <c:v>1852</c:v>
                </c:pt>
                <c:pt idx="104">
                  <c:v>1853</c:v>
                </c:pt>
                <c:pt idx="105">
                  <c:v>1854</c:v>
                </c:pt>
                <c:pt idx="106">
                  <c:v>1855</c:v>
                </c:pt>
                <c:pt idx="107">
                  <c:v>1856</c:v>
                </c:pt>
                <c:pt idx="108">
                  <c:v>1857</c:v>
                </c:pt>
                <c:pt idx="109">
                  <c:v>1858</c:v>
                </c:pt>
                <c:pt idx="110">
                  <c:v>1859</c:v>
                </c:pt>
                <c:pt idx="111">
                  <c:v>1860</c:v>
                </c:pt>
                <c:pt idx="112">
                  <c:v>1861</c:v>
                </c:pt>
                <c:pt idx="113">
                  <c:v>1862</c:v>
                </c:pt>
                <c:pt idx="114">
                  <c:v>1863</c:v>
                </c:pt>
                <c:pt idx="115">
                  <c:v>1864</c:v>
                </c:pt>
                <c:pt idx="116">
                  <c:v>1865</c:v>
                </c:pt>
                <c:pt idx="117">
                  <c:v>1866</c:v>
                </c:pt>
                <c:pt idx="118">
                  <c:v>1867</c:v>
                </c:pt>
                <c:pt idx="119">
                  <c:v>1868</c:v>
                </c:pt>
                <c:pt idx="120">
                  <c:v>1869</c:v>
                </c:pt>
                <c:pt idx="121">
                  <c:v>1870</c:v>
                </c:pt>
                <c:pt idx="122">
                  <c:v>1871</c:v>
                </c:pt>
                <c:pt idx="123">
                  <c:v>1872</c:v>
                </c:pt>
                <c:pt idx="124">
                  <c:v>1873</c:v>
                </c:pt>
                <c:pt idx="125">
                  <c:v>1874</c:v>
                </c:pt>
                <c:pt idx="126">
                  <c:v>1875</c:v>
                </c:pt>
                <c:pt idx="127">
                  <c:v>1876</c:v>
                </c:pt>
                <c:pt idx="128">
                  <c:v>1877</c:v>
                </c:pt>
                <c:pt idx="129">
                  <c:v>1878</c:v>
                </c:pt>
                <c:pt idx="130">
                  <c:v>1879</c:v>
                </c:pt>
                <c:pt idx="131">
                  <c:v>1880</c:v>
                </c:pt>
                <c:pt idx="132">
                  <c:v>1881</c:v>
                </c:pt>
                <c:pt idx="133">
                  <c:v>1882</c:v>
                </c:pt>
                <c:pt idx="134">
                  <c:v>1883</c:v>
                </c:pt>
                <c:pt idx="135">
                  <c:v>1884</c:v>
                </c:pt>
                <c:pt idx="136">
                  <c:v>1885</c:v>
                </c:pt>
                <c:pt idx="137">
                  <c:v>1886</c:v>
                </c:pt>
                <c:pt idx="138">
                  <c:v>1887</c:v>
                </c:pt>
                <c:pt idx="139">
                  <c:v>1888</c:v>
                </c:pt>
                <c:pt idx="140">
                  <c:v>1889</c:v>
                </c:pt>
                <c:pt idx="141">
                  <c:v>1890</c:v>
                </c:pt>
                <c:pt idx="142">
                  <c:v>1891</c:v>
                </c:pt>
                <c:pt idx="143">
                  <c:v>1892</c:v>
                </c:pt>
                <c:pt idx="144">
                  <c:v>1893</c:v>
                </c:pt>
                <c:pt idx="145">
                  <c:v>1894</c:v>
                </c:pt>
                <c:pt idx="146">
                  <c:v>1895</c:v>
                </c:pt>
                <c:pt idx="147">
                  <c:v>1896</c:v>
                </c:pt>
                <c:pt idx="148">
                  <c:v>1897</c:v>
                </c:pt>
                <c:pt idx="149">
                  <c:v>1898</c:v>
                </c:pt>
                <c:pt idx="150">
                  <c:v>1899</c:v>
                </c:pt>
                <c:pt idx="151">
                  <c:v>1900</c:v>
                </c:pt>
                <c:pt idx="152">
                  <c:v>1901</c:v>
                </c:pt>
                <c:pt idx="153">
                  <c:v>1902</c:v>
                </c:pt>
                <c:pt idx="154">
                  <c:v>1903</c:v>
                </c:pt>
                <c:pt idx="155">
                  <c:v>1904</c:v>
                </c:pt>
                <c:pt idx="156">
                  <c:v>1905</c:v>
                </c:pt>
                <c:pt idx="157">
                  <c:v>1906</c:v>
                </c:pt>
                <c:pt idx="158">
                  <c:v>1907</c:v>
                </c:pt>
                <c:pt idx="159">
                  <c:v>1908</c:v>
                </c:pt>
                <c:pt idx="160">
                  <c:v>1909</c:v>
                </c:pt>
                <c:pt idx="161">
                  <c:v>1910</c:v>
                </c:pt>
                <c:pt idx="162">
                  <c:v>1911</c:v>
                </c:pt>
                <c:pt idx="163">
                  <c:v>1912</c:v>
                </c:pt>
                <c:pt idx="164">
                  <c:v>1913</c:v>
                </c:pt>
                <c:pt idx="165">
                  <c:v>1914</c:v>
                </c:pt>
                <c:pt idx="166">
                  <c:v>1915</c:v>
                </c:pt>
                <c:pt idx="167">
                  <c:v>1916</c:v>
                </c:pt>
                <c:pt idx="168">
                  <c:v>1917</c:v>
                </c:pt>
                <c:pt idx="169">
                  <c:v>1918</c:v>
                </c:pt>
                <c:pt idx="170">
                  <c:v>1919</c:v>
                </c:pt>
                <c:pt idx="171">
                  <c:v>1920</c:v>
                </c:pt>
                <c:pt idx="172">
                  <c:v>1921</c:v>
                </c:pt>
                <c:pt idx="173">
                  <c:v>1922</c:v>
                </c:pt>
                <c:pt idx="174">
                  <c:v>1923</c:v>
                </c:pt>
                <c:pt idx="175">
                  <c:v>1924</c:v>
                </c:pt>
                <c:pt idx="176">
                  <c:v>1925</c:v>
                </c:pt>
                <c:pt idx="177">
                  <c:v>1926</c:v>
                </c:pt>
                <c:pt idx="178">
                  <c:v>1927</c:v>
                </c:pt>
                <c:pt idx="179">
                  <c:v>1928</c:v>
                </c:pt>
                <c:pt idx="180">
                  <c:v>1929</c:v>
                </c:pt>
                <c:pt idx="181">
                  <c:v>1930</c:v>
                </c:pt>
                <c:pt idx="182">
                  <c:v>1931</c:v>
                </c:pt>
                <c:pt idx="183">
                  <c:v>1932</c:v>
                </c:pt>
                <c:pt idx="184">
                  <c:v>1933</c:v>
                </c:pt>
                <c:pt idx="185">
                  <c:v>1934</c:v>
                </c:pt>
                <c:pt idx="186">
                  <c:v>1935</c:v>
                </c:pt>
                <c:pt idx="187">
                  <c:v>1936</c:v>
                </c:pt>
                <c:pt idx="188">
                  <c:v>1937</c:v>
                </c:pt>
                <c:pt idx="189">
                  <c:v>1938</c:v>
                </c:pt>
                <c:pt idx="190">
                  <c:v>1939</c:v>
                </c:pt>
                <c:pt idx="191">
                  <c:v>1940</c:v>
                </c:pt>
                <c:pt idx="192">
                  <c:v>1941</c:v>
                </c:pt>
                <c:pt idx="193">
                  <c:v>1942</c:v>
                </c:pt>
                <c:pt idx="194">
                  <c:v>1943</c:v>
                </c:pt>
                <c:pt idx="195">
                  <c:v>1944</c:v>
                </c:pt>
                <c:pt idx="196">
                  <c:v>1945</c:v>
                </c:pt>
                <c:pt idx="197">
                  <c:v>1946</c:v>
                </c:pt>
                <c:pt idx="198">
                  <c:v>1947</c:v>
                </c:pt>
                <c:pt idx="199">
                  <c:v>1948</c:v>
                </c:pt>
                <c:pt idx="200">
                  <c:v>1949</c:v>
                </c:pt>
                <c:pt idx="201">
                  <c:v>1950</c:v>
                </c:pt>
                <c:pt idx="202">
                  <c:v>1951</c:v>
                </c:pt>
                <c:pt idx="203">
                  <c:v>1952</c:v>
                </c:pt>
                <c:pt idx="204">
                  <c:v>1953</c:v>
                </c:pt>
                <c:pt idx="205">
                  <c:v>1954</c:v>
                </c:pt>
                <c:pt idx="206">
                  <c:v>1955</c:v>
                </c:pt>
                <c:pt idx="207">
                  <c:v>1956</c:v>
                </c:pt>
                <c:pt idx="208">
                  <c:v>1957</c:v>
                </c:pt>
                <c:pt idx="209">
                  <c:v>1958</c:v>
                </c:pt>
                <c:pt idx="210">
                  <c:v>1959</c:v>
                </c:pt>
                <c:pt idx="211">
                  <c:v>1960</c:v>
                </c:pt>
                <c:pt idx="212">
                  <c:v>1961</c:v>
                </c:pt>
                <c:pt idx="213">
                  <c:v>1962</c:v>
                </c:pt>
                <c:pt idx="214">
                  <c:v>1963</c:v>
                </c:pt>
                <c:pt idx="215">
                  <c:v>1964</c:v>
                </c:pt>
                <c:pt idx="216">
                  <c:v>1965</c:v>
                </c:pt>
                <c:pt idx="217">
                  <c:v>1966</c:v>
                </c:pt>
                <c:pt idx="218">
                  <c:v>1967</c:v>
                </c:pt>
                <c:pt idx="219">
                  <c:v>1968</c:v>
                </c:pt>
                <c:pt idx="220">
                  <c:v>1969</c:v>
                </c:pt>
                <c:pt idx="221">
                  <c:v>1970</c:v>
                </c:pt>
                <c:pt idx="222">
                  <c:v>1971</c:v>
                </c:pt>
                <c:pt idx="223">
                  <c:v>1972</c:v>
                </c:pt>
                <c:pt idx="224">
                  <c:v>1973</c:v>
                </c:pt>
                <c:pt idx="225">
                  <c:v>1974</c:v>
                </c:pt>
                <c:pt idx="226">
                  <c:v>1975</c:v>
                </c:pt>
                <c:pt idx="227">
                  <c:v>1976</c:v>
                </c:pt>
                <c:pt idx="228">
                  <c:v>1977</c:v>
                </c:pt>
                <c:pt idx="229">
                  <c:v>1978</c:v>
                </c:pt>
                <c:pt idx="230">
                  <c:v>1979</c:v>
                </c:pt>
                <c:pt idx="231">
                  <c:v>1980</c:v>
                </c:pt>
                <c:pt idx="232">
                  <c:v>1981</c:v>
                </c:pt>
                <c:pt idx="233">
                  <c:v>1982</c:v>
                </c:pt>
                <c:pt idx="234">
                  <c:v>1983</c:v>
                </c:pt>
                <c:pt idx="235">
                  <c:v>1984</c:v>
                </c:pt>
                <c:pt idx="236">
                  <c:v>1985</c:v>
                </c:pt>
                <c:pt idx="237">
                  <c:v>1986</c:v>
                </c:pt>
                <c:pt idx="238">
                  <c:v>1987</c:v>
                </c:pt>
                <c:pt idx="239">
                  <c:v>1988</c:v>
                </c:pt>
                <c:pt idx="240">
                  <c:v>1989</c:v>
                </c:pt>
                <c:pt idx="241">
                  <c:v>1990</c:v>
                </c:pt>
                <c:pt idx="242">
                  <c:v>1991</c:v>
                </c:pt>
                <c:pt idx="243">
                  <c:v>1992</c:v>
                </c:pt>
                <c:pt idx="244">
                  <c:v>1993</c:v>
                </c:pt>
                <c:pt idx="245">
                  <c:v>1994</c:v>
                </c:pt>
                <c:pt idx="246">
                  <c:v>1995</c:v>
                </c:pt>
                <c:pt idx="247">
                  <c:v>1996</c:v>
                </c:pt>
                <c:pt idx="248">
                  <c:v>1997</c:v>
                </c:pt>
                <c:pt idx="249">
                  <c:v>1998</c:v>
                </c:pt>
                <c:pt idx="250">
                  <c:v>1999</c:v>
                </c:pt>
                <c:pt idx="251">
                  <c:v>2000</c:v>
                </c:pt>
                <c:pt idx="252">
                  <c:v>2001</c:v>
                </c:pt>
                <c:pt idx="253">
                  <c:v>2002</c:v>
                </c:pt>
                <c:pt idx="254">
                  <c:v>2003</c:v>
                </c:pt>
                <c:pt idx="255">
                  <c:v>2004</c:v>
                </c:pt>
                <c:pt idx="256">
                  <c:v>2005</c:v>
                </c:pt>
                <c:pt idx="257">
                  <c:v>2006</c:v>
                </c:pt>
                <c:pt idx="258">
                  <c:v>2007</c:v>
                </c:pt>
                <c:pt idx="259">
                  <c:v>2008</c:v>
                </c:pt>
                <c:pt idx="260" formatCode="0">
                  <c:v>2009</c:v>
                </c:pt>
                <c:pt idx="261" formatCode="0">
                  <c:v>2010</c:v>
                </c:pt>
                <c:pt idx="262" formatCode="0">
                  <c:v>2011</c:v>
                </c:pt>
                <c:pt idx="263" formatCode="0">
                  <c:v>2012</c:v>
                </c:pt>
                <c:pt idx="264" formatCode="0">
                  <c:v>2013</c:v>
                </c:pt>
                <c:pt idx="265" formatCode="0">
                  <c:v>2014</c:v>
                </c:pt>
                <c:pt idx="266" formatCode="0">
                  <c:v>2015</c:v>
                </c:pt>
                <c:pt idx="267" formatCode="0">
                  <c:v>2016</c:v>
                </c:pt>
                <c:pt idx="268" formatCode="0">
                  <c:v>2017</c:v>
                </c:pt>
                <c:pt idx="269" formatCode="0">
                  <c:v>2018</c:v>
                </c:pt>
                <c:pt idx="270" formatCode="0">
                  <c:v>2019</c:v>
                </c:pt>
                <c:pt idx="271" formatCode="0">
                  <c:v>2020</c:v>
                </c:pt>
                <c:pt idx="272" formatCode="0">
                  <c:v>2021</c:v>
                </c:pt>
                <c:pt idx="273" formatCode="0">
                  <c:v>2022</c:v>
                </c:pt>
                <c:pt idx="274" formatCode="0">
                  <c:v>2023</c:v>
                </c:pt>
                <c:pt idx="275" formatCode="0">
                  <c:v>2024</c:v>
                </c:pt>
                <c:pt idx="276" formatCode="0">
                  <c:v>2025</c:v>
                </c:pt>
                <c:pt idx="277" formatCode="0">
                  <c:v>2026</c:v>
                </c:pt>
                <c:pt idx="278" formatCode="0">
                  <c:v>2027</c:v>
                </c:pt>
                <c:pt idx="279" formatCode="0">
                  <c:v>2028</c:v>
                </c:pt>
                <c:pt idx="280" formatCode="0">
                  <c:v>2029</c:v>
                </c:pt>
                <c:pt idx="281" formatCode="0">
                  <c:v>2030</c:v>
                </c:pt>
                <c:pt idx="282" formatCode="0">
                  <c:v>2031</c:v>
                </c:pt>
                <c:pt idx="283" formatCode="0">
                  <c:v>2032</c:v>
                </c:pt>
                <c:pt idx="284" formatCode="0">
                  <c:v>2033</c:v>
                </c:pt>
                <c:pt idx="285" formatCode="0">
                  <c:v>2034</c:v>
                </c:pt>
                <c:pt idx="286" formatCode="0">
                  <c:v>2035</c:v>
                </c:pt>
                <c:pt idx="287" formatCode="0">
                  <c:v>2036</c:v>
                </c:pt>
                <c:pt idx="288" formatCode="0">
                  <c:v>2037</c:v>
                </c:pt>
                <c:pt idx="289" formatCode="0">
                  <c:v>2038</c:v>
                </c:pt>
                <c:pt idx="290" formatCode="0">
                  <c:v>2039</c:v>
                </c:pt>
                <c:pt idx="291" formatCode="0">
                  <c:v>2040</c:v>
                </c:pt>
                <c:pt idx="292" formatCode="0">
                  <c:v>2041</c:v>
                </c:pt>
                <c:pt idx="293" formatCode="0">
                  <c:v>2042</c:v>
                </c:pt>
                <c:pt idx="294" formatCode="0">
                  <c:v>2043</c:v>
                </c:pt>
                <c:pt idx="295" formatCode="0">
                  <c:v>2044</c:v>
                </c:pt>
                <c:pt idx="296" formatCode="0">
                  <c:v>2045</c:v>
                </c:pt>
                <c:pt idx="297" formatCode="0">
                  <c:v>2046</c:v>
                </c:pt>
                <c:pt idx="298" formatCode="0">
                  <c:v>2047</c:v>
                </c:pt>
                <c:pt idx="299" formatCode="0">
                  <c:v>2048</c:v>
                </c:pt>
                <c:pt idx="300" formatCode="0">
                  <c:v>2049</c:v>
                </c:pt>
                <c:pt idx="301" formatCode="0">
                  <c:v>2050</c:v>
                </c:pt>
                <c:pt idx="302" formatCode="0">
                  <c:v>2051</c:v>
                </c:pt>
                <c:pt idx="303" formatCode="0">
                  <c:v>2052</c:v>
                </c:pt>
                <c:pt idx="304" formatCode="0">
                  <c:v>2053</c:v>
                </c:pt>
                <c:pt idx="305" formatCode="0">
                  <c:v>2054</c:v>
                </c:pt>
                <c:pt idx="306" formatCode="0">
                  <c:v>2055</c:v>
                </c:pt>
                <c:pt idx="307" formatCode="0">
                  <c:v>2056</c:v>
                </c:pt>
                <c:pt idx="308" formatCode="0">
                  <c:v>2057</c:v>
                </c:pt>
                <c:pt idx="309" formatCode="0">
                  <c:v>2058</c:v>
                </c:pt>
                <c:pt idx="310" formatCode="0">
                  <c:v>2059</c:v>
                </c:pt>
                <c:pt idx="311" formatCode="0">
                  <c:v>2060</c:v>
                </c:pt>
              </c:numCache>
            </c:numRef>
          </c:val>
          <c:smooth val="0"/>
        </c:ser>
        <c:ser>
          <c:idx val="1"/>
          <c:order val="1"/>
          <c:tx>
            <c:strRef>
              <c:f>Bakgrundsdata!$A$24</c:f>
              <c:strCache>
                <c:ptCount val="1"/>
                <c:pt idx="0">
                  <c:v>Folkmängd</c:v>
                </c:pt>
              </c:strCache>
            </c:strRef>
          </c:tx>
          <c:marker>
            <c:symbol val="none"/>
          </c:marker>
          <c:trendline>
            <c:trendlineType val="exp"/>
            <c:dispRSqr val="0"/>
            <c:dispEq val="1"/>
            <c:trendlineLbl>
              <c:numFmt formatCode="General" sourceLinked="0"/>
            </c:trendlineLbl>
          </c:trendline>
          <c:val>
            <c:numRef>
              <c:f>Bakgrundsdata!$B$24:$LA$24</c:f>
              <c:numCache>
                <c:formatCode>#,##0</c:formatCode>
                <c:ptCount val="312"/>
                <c:pt idx="0">
                  <c:v>1764724</c:v>
                </c:pt>
                <c:pt idx="1">
                  <c:v>1780678</c:v>
                </c:pt>
                <c:pt idx="2">
                  <c:v>1802132</c:v>
                </c:pt>
                <c:pt idx="3">
                  <c:v>1816703</c:v>
                </c:pt>
                <c:pt idx="4">
                  <c:v>1837869</c:v>
                </c:pt>
                <c:pt idx="5">
                  <c:v>1857047</c:v>
                </c:pt>
                <c:pt idx="6">
                  <c:v>1875029</c:v>
                </c:pt>
                <c:pt idx="7">
                  <c:v>1889424</c:v>
                </c:pt>
                <c:pt idx="8">
                  <c:v>1892990</c:v>
                </c:pt>
                <c:pt idx="9">
                  <c:v>1893444</c:v>
                </c:pt>
                <c:pt idx="10">
                  <c:v>1905866</c:v>
                </c:pt>
                <c:pt idx="11">
                  <c:v>1925248</c:v>
                </c:pt>
                <c:pt idx="12">
                  <c:v>1942257</c:v>
                </c:pt>
                <c:pt idx="13">
                  <c:v>1949359</c:v>
                </c:pt>
                <c:pt idx="14">
                  <c:v>1952238</c:v>
                </c:pt>
                <c:pt idx="15">
                  <c:v>1966190</c:v>
                </c:pt>
                <c:pt idx="16">
                  <c:v>1976824</c:v>
                </c:pt>
                <c:pt idx="17">
                  <c:v>1992142</c:v>
                </c:pt>
                <c:pt idx="18">
                  <c:v>2009696</c:v>
                </c:pt>
                <c:pt idx="19">
                  <c:v>2020546</c:v>
                </c:pt>
                <c:pt idx="20">
                  <c:v>2030491</c:v>
                </c:pt>
                <c:pt idx="21">
                  <c:v>2042574</c:v>
                </c:pt>
                <c:pt idx="22">
                  <c:v>2050680</c:v>
                </c:pt>
                <c:pt idx="23">
                  <c:v>2032235</c:v>
                </c:pt>
                <c:pt idx="24">
                  <c:v>1977205</c:v>
                </c:pt>
                <c:pt idx="25">
                  <c:v>2000208</c:v>
                </c:pt>
                <c:pt idx="26">
                  <c:v>2020847</c:v>
                </c:pt>
                <c:pt idx="27">
                  <c:v>2041289</c:v>
                </c:pt>
                <c:pt idx="28">
                  <c:v>2057147</c:v>
                </c:pt>
                <c:pt idx="29">
                  <c:v>2073296</c:v>
                </c:pt>
                <c:pt idx="30">
                  <c:v>2089624</c:v>
                </c:pt>
                <c:pt idx="31">
                  <c:v>2118281</c:v>
                </c:pt>
                <c:pt idx="32">
                  <c:v>2132912</c:v>
                </c:pt>
                <c:pt idx="33">
                  <c:v>2140986</c:v>
                </c:pt>
                <c:pt idx="34">
                  <c:v>2143570</c:v>
                </c:pt>
                <c:pt idx="35">
                  <c:v>2145213</c:v>
                </c:pt>
                <c:pt idx="36">
                  <c:v>2149773</c:v>
                </c:pt>
                <c:pt idx="37">
                  <c:v>2163415</c:v>
                </c:pt>
                <c:pt idx="38">
                  <c:v>2178403</c:v>
                </c:pt>
                <c:pt idx="39">
                  <c:v>2192760</c:v>
                </c:pt>
                <c:pt idx="40">
                  <c:v>2188962</c:v>
                </c:pt>
                <c:pt idx="41">
                  <c:v>2187732</c:v>
                </c:pt>
                <c:pt idx="42">
                  <c:v>2202319</c:v>
                </c:pt>
                <c:pt idx="43">
                  <c:v>2229343</c:v>
                </c:pt>
                <c:pt idx="44">
                  <c:v>2250919</c:v>
                </c:pt>
                <c:pt idx="45">
                  <c:v>2272890</c:v>
                </c:pt>
                <c:pt idx="46">
                  <c:v>2281137</c:v>
                </c:pt>
                <c:pt idx="47">
                  <c:v>2300793</c:v>
                </c:pt>
                <c:pt idx="48">
                  <c:v>2322814</c:v>
                </c:pt>
                <c:pt idx="49">
                  <c:v>2344228</c:v>
                </c:pt>
                <c:pt idx="50">
                  <c:v>2356993</c:v>
                </c:pt>
                <c:pt idx="51">
                  <c:v>2347303</c:v>
                </c:pt>
                <c:pt idx="52">
                  <c:v>2354952</c:v>
                </c:pt>
                <c:pt idx="53">
                  <c:v>2372216</c:v>
                </c:pt>
                <c:pt idx="54">
                  <c:v>2388619</c:v>
                </c:pt>
                <c:pt idx="55">
                  <c:v>2403814</c:v>
                </c:pt>
                <c:pt idx="56">
                  <c:v>2422039</c:v>
                </c:pt>
                <c:pt idx="57">
                  <c:v>2428734</c:v>
                </c:pt>
                <c:pt idx="58">
                  <c:v>2439599</c:v>
                </c:pt>
                <c:pt idx="59">
                  <c:v>2427592</c:v>
                </c:pt>
                <c:pt idx="60">
                  <c:v>2394101</c:v>
                </c:pt>
                <c:pt idx="61">
                  <c:v>2396351</c:v>
                </c:pt>
                <c:pt idx="62">
                  <c:v>2411382</c:v>
                </c:pt>
                <c:pt idx="63">
                  <c:v>2418780</c:v>
                </c:pt>
                <c:pt idx="64">
                  <c:v>2423949</c:v>
                </c:pt>
                <c:pt idx="65">
                  <c:v>2438241</c:v>
                </c:pt>
                <c:pt idx="66">
                  <c:v>2465066</c:v>
                </c:pt>
                <c:pt idx="67">
                  <c:v>2497484</c:v>
                </c:pt>
                <c:pt idx="68">
                  <c:v>2521442</c:v>
                </c:pt>
                <c:pt idx="69">
                  <c:v>2546411</c:v>
                </c:pt>
                <c:pt idx="70">
                  <c:v>2561780</c:v>
                </c:pt>
                <c:pt idx="71">
                  <c:v>2584690</c:v>
                </c:pt>
                <c:pt idx="72">
                  <c:v>2610870</c:v>
                </c:pt>
                <c:pt idx="73">
                  <c:v>2646314</c:v>
                </c:pt>
                <c:pt idx="74">
                  <c:v>2689031</c:v>
                </c:pt>
                <c:pt idx="75">
                  <c:v>2726877</c:v>
                </c:pt>
                <c:pt idx="76">
                  <c:v>2771252</c:v>
                </c:pt>
                <c:pt idx="77">
                  <c:v>2804926</c:v>
                </c:pt>
                <c:pt idx="78">
                  <c:v>2827719</c:v>
                </c:pt>
                <c:pt idx="79">
                  <c:v>2846788</c:v>
                </c:pt>
                <c:pt idx="80">
                  <c:v>2863132</c:v>
                </c:pt>
                <c:pt idx="81">
                  <c:v>2888082</c:v>
                </c:pt>
                <c:pt idx="82">
                  <c:v>2901039</c:v>
                </c:pt>
                <c:pt idx="83">
                  <c:v>2922801</c:v>
                </c:pt>
                <c:pt idx="84">
                  <c:v>2959141</c:v>
                </c:pt>
                <c:pt idx="85">
                  <c:v>2983055</c:v>
                </c:pt>
                <c:pt idx="86">
                  <c:v>3025439</c:v>
                </c:pt>
                <c:pt idx="87">
                  <c:v>3059356</c:v>
                </c:pt>
                <c:pt idx="88">
                  <c:v>3076184</c:v>
                </c:pt>
                <c:pt idx="89">
                  <c:v>3090262</c:v>
                </c:pt>
                <c:pt idx="90">
                  <c:v>3106459</c:v>
                </c:pt>
                <c:pt idx="91">
                  <c:v>3138887</c:v>
                </c:pt>
                <c:pt idx="92">
                  <c:v>3173160</c:v>
                </c:pt>
                <c:pt idx="93">
                  <c:v>3206776</c:v>
                </c:pt>
                <c:pt idx="94">
                  <c:v>3236632</c:v>
                </c:pt>
                <c:pt idx="95">
                  <c:v>3275133</c:v>
                </c:pt>
                <c:pt idx="96">
                  <c:v>3316536</c:v>
                </c:pt>
                <c:pt idx="97">
                  <c:v>3342927</c:v>
                </c:pt>
                <c:pt idx="98">
                  <c:v>3362072</c:v>
                </c:pt>
                <c:pt idx="99">
                  <c:v>3397454</c:v>
                </c:pt>
                <c:pt idx="100">
                  <c:v>3441286</c:v>
                </c:pt>
                <c:pt idx="101">
                  <c:v>3482541</c:v>
                </c:pt>
                <c:pt idx="102">
                  <c:v>3516647</c:v>
                </c:pt>
                <c:pt idx="103">
                  <c:v>3540409</c:v>
                </c:pt>
                <c:pt idx="104">
                  <c:v>3563316</c:v>
                </c:pt>
                <c:pt idx="105">
                  <c:v>3608124</c:v>
                </c:pt>
                <c:pt idx="106">
                  <c:v>3641011</c:v>
                </c:pt>
                <c:pt idx="107">
                  <c:v>3672988</c:v>
                </c:pt>
                <c:pt idx="108">
                  <c:v>3687601</c:v>
                </c:pt>
                <c:pt idx="109">
                  <c:v>3734240</c:v>
                </c:pt>
                <c:pt idx="110">
                  <c:v>3787735</c:v>
                </c:pt>
                <c:pt idx="111">
                  <c:v>3859728</c:v>
                </c:pt>
                <c:pt idx="112">
                  <c:v>3917339</c:v>
                </c:pt>
                <c:pt idx="113">
                  <c:v>3965899</c:v>
                </c:pt>
                <c:pt idx="114">
                  <c:v>4022564</c:v>
                </c:pt>
                <c:pt idx="115">
                  <c:v>4070061</c:v>
                </c:pt>
                <c:pt idx="116">
                  <c:v>4114141</c:v>
                </c:pt>
                <c:pt idx="117">
                  <c:v>4160677</c:v>
                </c:pt>
                <c:pt idx="118">
                  <c:v>4195681</c:v>
                </c:pt>
                <c:pt idx="119">
                  <c:v>4173080</c:v>
                </c:pt>
                <c:pt idx="120">
                  <c:v>4158757</c:v>
                </c:pt>
                <c:pt idx="121">
                  <c:v>4168525</c:v>
                </c:pt>
                <c:pt idx="122">
                  <c:v>4204177</c:v>
                </c:pt>
                <c:pt idx="123">
                  <c:v>4250412</c:v>
                </c:pt>
                <c:pt idx="124">
                  <c:v>4297972</c:v>
                </c:pt>
                <c:pt idx="125">
                  <c:v>4341559</c:v>
                </c:pt>
                <c:pt idx="126">
                  <c:v>4383291</c:v>
                </c:pt>
                <c:pt idx="127">
                  <c:v>4429713</c:v>
                </c:pt>
                <c:pt idx="128">
                  <c:v>4484542</c:v>
                </c:pt>
                <c:pt idx="129">
                  <c:v>4531863</c:v>
                </c:pt>
                <c:pt idx="130">
                  <c:v>4578901</c:v>
                </c:pt>
                <c:pt idx="131">
                  <c:v>4565668</c:v>
                </c:pt>
                <c:pt idx="132">
                  <c:v>4572245</c:v>
                </c:pt>
                <c:pt idx="133">
                  <c:v>4579115</c:v>
                </c:pt>
                <c:pt idx="134">
                  <c:v>4603595</c:v>
                </c:pt>
                <c:pt idx="135">
                  <c:v>4644448</c:v>
                </c:pt>
                <c:pt idx="136">
                  <c:v>4682769</c:v>
                </c:pt>
                <c:pt idx="137">
                  <c:v>4717189</c:v>
                </c:pt>
                <c:pt idx="138">
                  <c:v>4734901</c:v>
                </c:pt>
                <c:pt idx="139">
                  <c:v>4748257</c:v>
                </c:pt>
                <c:pt idx="140">
                  <c:v>4774409</c:v>
                </c:pt>
                <c:pt idx="141">
                  <c:v>4784981</c:v>
                </c:pt>
                <c:pt idx="142">
                  <c:v>4802751</c:v>
                </c:pt>
                <c:pt idx="143">
                  <c:v>4806865</c:v>
                </c:pt>
                <c:pt idx="144">
                  <c:v>4824150</c:v>
                </c:pt>
                <c:pt idx="145">
                  <c:v>4873183</c:v>
                </c:pt>
                <c:pt idx="146">
                  <c:v>4919260</c:v>
                </c:pt>
                <c:pt idx="147">
                  <c:v>4962568</c:v>
                </c:pt>
                <c:pt idx="148">
                  <c:v>5009632</c:v>
                </c:pt>
                <c:pt idx="149">
                  <c:v>5062918</c:v>
                </c:pt>
                <c:pt idx="150">
                  <c:v>5097402</c:v>
                </c:pt>
                <c:pt idx="151">
                  <c:v>5136441</c:v>
                </c:pt>
                <c:pt idx="152">
                  <c:v>5175228</c:v>
                </c:pt>
                <c:pt idx="153">
                  <c:v>5198752</c:v>
                </c:pt>
                <c:pt idx="154">
                  <c:v>5221291</c:v>
                </c:pt>
                <c:pt idx="155">
                  <c:v>5260811</c:v>
                </c:pt>
                <c:pt idx="156">
                  <c:v>5294885</c:v>
                </c:pt>
                <c:pt idx="157">
                  <c:v>5337055</c:v>
                </c:pt>
                <c:pt idx="158">
                  <c:v>5377713</c:v>
                </c:pt>
                <c:pt idx="159">
                  <c:v>5429600</c:v>
                </c:pt>
                <c:pt idx="160">
                  <c:v>5476441</c:v>
                </c:pt>
                <c:pt idx="161">
                  <c:v>5522403</c:v>
                </c:pt>
                <c:pt idx="162">
                  <c:v>5561799</c:v>
                </c:pt>
                <c:pt idx="163">
                  <c:v>5604192</c:v>
                </c:pt>
                <c:pt idx="164">
                  <c:v>5638583</c:v>
                </c:pt>
                <c:pt idx="165">
                  <c:v>5679607</c:v>
                </c:pt>
                <c:pt idx="166">
                  <c:v>5712740</c:v>
                </c:pt>
                <c:pt idx="167">
                  <c:v>5757566</c:v>
                </c:pt>
                <c:pt idx="168">
                  <c:v>5800847</c:v>
                </c:pt>
                <c:pt idx="169">
                  <c:v>5813850</c:v>
                </c:pt>
                <c:pt idx="170">
                  <c:v>5847037</c:v>
                </c:pt>
                <c:pt idx="171">
                  <c:v>5904489</c:v>
                </c:pt>
                <c:pt idx="172">
                  <c:v>5954316</c:v>
                </c:pt>
                <c:pt idx="173">
                  <c:v>5987520</c:v>
                </c:pt>
                <c:pt idx="174">
                  <c:v>6005759</c:v>
                </c:pt>
                <c:pt idx="175">
                  <c:v>6036118</c:v>
                </c:pt>
                <c:pt idx="176">
                  <c:v>6053562</c:v>
                </c:pt>
                <c:pt idx="177">
                  <c:v>6074368</c:v>
                </c:pt>
                <c:pt idx="178">
                  <c:v>6087923</c:v>
                </c:pt>
                <c:pt idx="179">
                  <c:v>6105190</c:v>
                </c:pt>
                <c:pt idx="180">
                  <c:v>6120080</c:v>
                </c:pt>
                <c:pt idx="181">
                  <c:v>6142191</c:v>
                </c:pt>
                <c:pt idx="182">
                  <c:v>6162446</c:v>
                </c:pt>
                <c:pt idx="183">
                  <c:v>6190364</c:v>
                </c:pt>
                <c:pt idx="184">
                  <c:v>6211566</c:v>
                </c:pt>
                <c:pt idx="185">
                  <c:v>6233090</c:v>
                </c:pt>
                <c:pt idx="186">
                  <c:v>6250506</c:v>
                </c:pt>
                <c:pt idx="187">
                  <c:v>6266888</c:v>
                </c:pt>
                <c:pt idx="188">
                  <c:v>6284722</c:v>
                </c:pt>
                <c:pt idx="189">
                  <c:v>6310214</c:v>
                </c:pt>
                <c:pt idx="190">
                  <c:v>6341303</c:v>
                </c:pt>
                <c:pt idx="191">
                  <c:v>6371432</c:v>
                </c:pt>
                <c:pt idx="192">
                  <c:v>6406474</c:v>
                </c:pt>
                <c:pt idx="193">
                  <c:v>6458200</c:v>
                </c:pt>
                <c:pt idx="194">
                  <c:v>6522827</c:v>
                </c:pt>
                <c:pt idx="195">
                  <c:v>6597348</c:v>
                </c:pt>
                <c:pt idx="196">
                  <c:v>6673749</c:v>
                </c:pt>
                <c:pt idx="197">
                  <c:v>6763685</c:v>
                </c:pt>
                <c:pt idx="198">
                  <c:v>6842046</c:v>
                </c:pt>
                <c:pt idx="199">
                  <c:v>6924888</c:v>
                </c:pt>
                <c:pt idx="200">
                  <c:v>6986181</c:v>
                </c:pt>
                <c:pt idx="201">
                  <c:v>7041829</c:v>
                </c:pt>
                <c:pt idx="202">
                  <c:v>7098740</c:v>
                </c:pt>
                <c:pt idx="203">
                  <c:v>7150606</c:v>
                </c:pt>
                <c:pt idx="204">
                  <c:v>7192316</c:v>
                </c:pt>
                <c:pt idx="205">
                  <c:v>7234664</c:v>
                </c:pt>
                <c:pt idx="206">
                  <c:v>7290112</c:v>
                </c:pt>
                <c:pt idx="207">
                  <c:v>7338991</c:v>
                </c:pt>
                <c:pt idx="208">
                  <c:v>7388611</c:v>
                </c:pt>
                <c:pt idx="209">
                  <c:v>7429675</c:v>
                </c:pt>
                <c:pt idx="210">
                  <c:v>7462823</c:v>
                </c:pt>
                <c:pt idx="211">
                  <c:v>7497967</c:v>
                </c:pt>
                <c:pt idx="212">
                  <c:v>7542028</c:v>
                </c:pt>
                <c:pt idx="213">
                  <c:v>7581148</c:v>
                </c:pt>
                <c:pt idx="214">
                  <c:v>7627507</c:v>
                </c:pt>
                <c:pt idx="215">
                  <c:v>7695200</c:v>
                </c:pt>
                <c:pt idx="216">
                  <c:v>7772506</c:v>
                </c:pt>
                <c:pt idx="217">
                  <c:v>7843088</c:v>
                </c:pt>
                <c:pt idx="218">
                  <c:v>7892774</c:v>
                </c:pt>
                <c:pt idx="219">
                  <c:v>7931193</c:v>
                </c:pt>
                <c:pt idx="220">
                  <c:v>8004270</c:v>
                </c:pt>
                <c:pt idx="221">
                  <c:v>8081229</c:v>
                </c:pt>
                <c:pt idx="222">
                  <c:v>8115165</c:v>
                </c:pt>
                <c:pt idx="223">
                  <c:v>8129129</c:v>
                </c:pt>
                <c:pt idx="224">
                  <c:v>8144428</c:v>
                </c:pt>
                <c:pt idx="225">
                  <c:v>8176691</c:v>
                </c:pt>
                <c:pt idx="226">
                  <c:v>8208442</c:v>
                </c:pt>
                <c:pt idx="227">
                  <c:v>8236179</c:v>
                </c:pt>
                <c:pt idx="228">
                  <c:v>8267116</c:v>
                </c:pt>
                <c:pt idx="229">
                  <c:v>8284437</c:v>
                </c:pt>
                <c:pt idx="230">
                  <c:v>8303010</c:v>
                </c:pt>
                <c:pt idx="231">
                  <c:v>8317937</c:v>
                </c:pt>
                <c:pt idx="232">
                  <c:v>8323033</c:v>
                </c:pt>
                <c:pt idx="233">
                  <c:v>8327484</c:v>
                </c:pt>
                <c:pt idx="234">
                  <c:v>8330573</c:v>
                </c:pt>
                <c:pt idx="235">
                  <c:v>8342621</c:v>
                </c:pt>
                <c:pt idx="236">
                  <c:v>8358139</c:v>
                </c:pt>
                <c:pt idx="237">
                  <c:v>8381515</c:v>
                </c:pt>
                <c:pt idx="238">
                  <c:v>8414083</c:v>
                </c:pt>
                <c:pt idx="239">
                  <c:v>8458888</c:v>
                </c:pt>
                <c:pt idx="240">
                  <c:v>8527036</c:v>
                </c:pt>
                <c:pt idx="241">
                  <c:v>8590630</c:v>
                </c:pt>
                <c:pt idx="242">
                  <c:v>8644119</c:v>
                </c:pt>
                <c:pt idx="243">
                  <c:v>8692013</c:v>
                </c:pt>
                <c:pt idx="244">
                  <c:v>8745109</c:v>
                </c:pt>
                <c:pt idx="245">
                  <c:v>8816381</c:v>
                </c:pt>
                <c:pt idx="246">
                  <c:v>8837496</c:v>
                </c:pt>
                <c:pt idx="247">
                  <c:v>8844499</c:v>
                </c:pt>
                <c:pt idx="248">
                  <c:v>8847625</c:v>
                </c:pt>
                <c:pt idx="249">
                  <c:v>8854322</c:v>
                </c:pt>
                <c:pt idx="250">
                  <c:v>8861426</c:v>
                </c:pt>
                <c:pt idx="251">
                  <c:v>8882792</c:v>
                </c:pt>
                <c:pt idx="252">
                  <c:v>8909128</c:v>
                </c:pt>
                <c:pt idx="253">
                  <c:v>8940788</c:v>
                </c:pt>
                <c:pt idx="254">
                  <c:v>8975670</c:v>
                </c:pt>
                <c:pt idx="255">
                  <c:v>9011392</c:v>
                </c:pt>
                <c:pt idx="256">
                  <c:v>9047752</c:v>
                </c:pt>
                <c:pt idx="257">
                  <c:v>9113257</c:v>
                </c:pt>
                <c:pt idx="258">
                  <c:v>9182927</c:v>
                </c:pt>
                <c:pt idx="259">
                  <c:v>9256347</c:v>
                </c:pt>
                <c:pt idx="260">
                  <c:v>9340682</c:v>
                </c:pt>
                <c:pt idx="261">
                  <c:v>9415570</c:v>
                </c:pt>
                <c:pt idx="262">
                  <c:v>9482855</c:v>
                </c:pt>
                <c:pt idx="263">
                  <c:v>9565519</c:v>
                </c:pt>
                <c:pt idx="264">
                  <c:v>9652709</c:v>
                </c:pt>
                <c:pt idx="265">
                  <c:v>9737738</c:v>
                </c:pt>
                <c:pt idx="266">
                  <c:v>9821281</c:v>
                </c:pt>
                <c:pt idx="267">
                  <c:v>9905548</c:v>
                </c:pt>
                <c:pt idx="268">
                  <c:v>9986306</c:v>
                </c:pt>
                <c:pt idx="269">
                  <c:v>10063638</c:v>
                </c:pt>
                <c:pt idx="270">
                  <c:v>10135790</c:v>
                </c:pt>
                <c:pt idx="271">
                  <c:v>10200459</c:v>
                </c:pt>
                <c:pt idx="272">
                  <c:v>10259221</c:v>
                </c:pt>
                <c:pt idx="273">
                  <c:v>10314592</c:v>
                </c:pt>
                <c:pt idx="274">
                  <c:v>10368078</c:v>
                </c:pt>
                <c:pt idx="275">
                  <c:v>10418813</c:v>
                </c:pt>
                <c:pt idx="276">
                  <c:v>10466388</c:v>
                </c:pt>
                <c:pt idx="277">
                  <c:v>10511030</c:v>
                </c:pt>
                <c:pt idx="278">
                  <c:v>10552673</c:v>
                </c:pt>
                <c:pt idx="279">
                  <c:v>10591303</c:v>
                </c:pt>
                <c:pt idx="280">
                  <c:v>10627078</c:v>
                </c:pt>
                <c:pt idx="281">
                  <c:v>10660344</c:v>
                </c:pt>
                <c:pt idx="282">
                  <c:v>10691580</c:v>
                </c:pt>
                <c:pt idx="283">
                  <c:v>10721200</c:v>
                </c:pt>
                <c:pt idx="284">
                  <c:v>10749594</c:v>
                </c:pt>
                <c:pt idx="285">
                  <c:v>10777175</c:v>
                </c:pt>
                <c:pt idx="286">
                  <c:v>10804366</c:v>
                </c:pt>
                <c:pt idx="287">
                  <c:v>10831529</c:v>
                </c:pt>
                <c:pt idx="288">
                  <c:v>10858964</c:v>
                </c:pt>
                <c:pt idx="289">
                  <c:v>10886931</c:v>
                </c:pt>
                <c:pt idx="290">
                  <c:v>10915678</c:v>
                </c:pt>
                <c:pt idx="291">
                  <c:v>10945343</c:v>
                </c:pt>
                <c:pt idx="292">
                  <c:v>10976018</c:v>
                </c:pt>
                <c:pt idx="293">
                  <c:v>11007709</c:v>
                </c:pt>
                <c:pt idx="294">
                  <c:v>11040420</c:v>
                </c:pt>
                <c:pt idx="295">
                  <c:v>11074136</c:v>
                </c:pt>
                <c:pt idx="296">
                  <c:v>11108635</c:v>
                </c:pt>
                <c:pt idx="297">
                  <c:v>11143866</c:v>
                </c:pt>
                <c:pt idx="298">
                  <c:v>11179597</c:v>
                </c:pt>
                <c:pt idx="299">
                  <c:v>11215639</c:v>
                </c:pt>
                <c:pt idx="300">
                  <c:v>11251778</c:v>
                </c:pt>
                <c:pt idx="301">
                  <c:v>11287749</c:v>
                </c:pt>
                <c:pt idx="302">
                  <c:v>11323354</c:v>
                </c:pt>
                <c:pt idx="303">
                  <c:v>11358415</c:v>
                </c:pt>
                <c:pt idx="304">
                  <c:v>11392759</c:v>
                </c:pt>
                <c:pt idx="305">
                  <c:v>11426264</c:v>
                </c:pt>
                <c:pt idx="306">
                  <c:v>11458820</c:v>
                </c:pt>
                <c:pt idx="307">
                  <c:v>11490472</c:v>
                </c:pt>
                <c:pt idx="308">
                  <c:v>11521135</c:v>
                </c:pt>
                <c:pt idx="309">
                  <c:v>11551041</c:v>
                </c:pt>
                <c:pt idx="310">
                  <c:v>11580218</c:v>
                </c:pt>
                <c:pt idx="311">
                  <c:v>11608933</c:v>
                </c:pt>
              </c:numCache>
            </c:numRef>
          </c:val>
          <c:smooth val="0"/>
        </c:ser>
        <c:dLbls>
          <c:showLegendKey val="0"/>
          <c:showVal val="0"/>
          <c:showCatName val="0"/>
          <c:showSerName val="0"/>
          <c:showPercent val="0"/>
          <c:showBubbleSize val="0"/>
        </c:dLbls>
        <c:marker val="1"/>
        <c:smooth val="0"/>
        <c:axId val="86179200"/>
        <c:axId val="86209664"/>
      </c:lineChart>
      <c:catAx>
        <c:axId val="86179200"/>
        <c:scaling>
          <c:orientation val="minMax"/>
        </c:scaling>
        <c:delete val="0"/>
        <c:axPos val="b"/>
        <c:majorTickMark val="out"/>
        <c:minorTickMark val="none"/>
        <c:tickLblPos val="nextTo"/>
        <c:crossAx val="86209664"/>
        <c:crosses val="autoZero"/>
        <c:auto val="1"/>
        <c:lblAlgn val="ctr"/>
        <c:lblOffset val="100"/>
        <c:noMultiLvlLbl val="0"/>
      </c:catAx>
      <c:valAx>
        <c:axId val="86209664"/>
        <c:scaling>
          <c:orientation val="minMax"/>
        </c:scaling>
        <c:delete val="0"/>
        <c:axPos val="l"/>
        <c:majorGridlines/>
        <c:numFmt formatCode="General" sourceLinked="1"/>
        <c:majorTickMark val="out"/>
        <c:minorTickMark val="none"/>
        <c:tickLblPos val="nextTo"/>
        <c:crossAx val="86179200"/>
        <c:crosses val="autoZero"/>
        <c:crossBetween val="between"/>
      </c:valAx>
    </c:plotArea>
    <c:legend>
      <c:legendPos val="r"/>
      <c:overlay val="0"/>
    </c:legend>
    <c:plotVisOnly val="1"/>
    <c:dispBlanksAs val="gap"/>
    <c:showDLblsOverMax val="0"/>
  </c:chart>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lineChart>
        <c:grouping val="standard"/>
        <c:varyColors val="0"/>
        <c:ser>
          <c:idx val="0"/>
          <c:order val="0"/>
          <c:tx>
            <c:strRef>
              <c:f>Bakgrundsdata!$A$46</c:f>
              <c:strCache>
                <c:ptCount val="1"/>
                <c:pt idx="0">
                  <c:v>Göteborg</c:v>
                </c:pt>
              </c:strCache>
            </c:strRef>
          </c:tx>
          <c:marker>
            <c:symbol val="none"/>
          </c:marker>
          <c:trendline>
            <c:trendlineType val="linear"/>
            <c:dispRSqr val="0"/>
            <c:dispEq val="0"/>
          </c:trendline>
          <c:cat>
            <c:numRef>
              <c:f>Bakgrundsdata!$B$45:$BL$45</c:f>
              <c:numCache>
                <c:formatCode>General</c:formatCode>
                <c:ptCount val="63"/>
                <c:pt idx="0">
                  <c:v>1950</c:v>
                </c:pt>
                <c:pt idx="1">
                  <c:v>1951</c:v>
                </c:pt>
                <c:pt idx="2">
                  <c:v>1952</c:v>
                </c:pt>
                <c:pt idx="3">
                  <c:v>1953</c:v>
                </c:pt>
                <c:pt idx="4">
                  <c:v>1954</c:v>
                </c:pt>
                <c:pt idx="5">
                  <c:v>1955</c:v>
                </c:pt>
                <c:pt idx="6">
                  <c:v>1956</c:v>
                </c:pt>
                <c:pt idx="7">
                  <c:v>1957</c:v>
                </c:pt>
                <c:pt idx="8">
                  <c:v>1958</c:v>
                </c:pt>
                <c:pt idx="9">
                  <c:v>1959</c:v>
                </c:pt>
                <c:pt idx="10">
                  <c:v>1960</c:v>
                </c:pt>
                <c:pt idx="11">
                  <c:v>1961</c:v>
                </c:pt>
                <c:pt idx="12">
                  <c:v>1962</c:v>
                </c:pt>
                <c:pt idx="13">
                  <c:v>1963</c:v>
                </c:pt>
                <c:pt idx="14">
                  <c:v>1964</c:v>
                </c:pt>
                <c:pt idx="15">
                  <c:v>1965</c:v>
                </c:pt>
                <c:pt idx="16">
                  <c:v>1966</c:v>
                </c:pt>
                <c:pt idx="17">
                  <c:v>1967</c:v>
                </c:pt>
                <c:pt idx="18">
                  <c:v>1968</c:v>
                </c:pt>
                <c:pt idx="19">
                  <c:v>1969</c:v>
                </c:pt>
                <c:pt idx="20">
                  <c:v>1970</c:v>
                </c:pt>
                <c:pt idx="21">
                  <c:v>1971</c:v>
                </c:pt>
                <c:pt idx="22">
                  <c:v>1972</c:v>
                </c:pt>
                <c:pt idx="23">
                  <c:v>1973</c:v>
                </c:pt>
                <c:pt idx="24">
                  <c:v>1974</c:v>
                </c:pt>
                <c:pt idx="25">
                  <c:v>1975</c:v>
                </c:pt>
                <c:pt idx="26">
                  <c:v>1976</c:v>
                </c:pt>
                <c:pt idx="27">
                  <c:v>1977</c:v>
                </c:pt>
                <c:pt idx="28">
                  <c:v>1978</c:v>
                </c:pt>
                <c:pt idx="29">
                  <c:v>1979</c:v>
                </c:pt>
                <c:pt idx="30">
                  <c:v>1980</c:v>
                </c:pt>
                <c:pt idx="31">
                  <c:v>1981</c:v>
                </c:pt>
                <c:pt idx="32">
                  <c:v>1982</c:v>
                </c:pt>
                <c:pt idx="33">
                  <c:v>1983</c:v>
                </c:pt>
                <c:pt idx="34">
                  <c:v>1984</c:v>
                </c:pt>
                <c:pt idx="35">
                  <c:v>1985</c:v>
                </c:pt>
                <c:pt idx="36">
                  <c:v>1986</c:v>
                </c:pt>
                <c:pt idx="37">
                  <c:v>1987</c:v>
                </c:pt>
                <c:pt idx="38">
                  <c:v>1988</c:v>
                </c:pt>
                <c:pt idx="39">
                  <c:v>1989</c:v>
                </c:pt>
                <c:pt idx="40">
                  <c:v>1990</c:v>
                </c:pt>
                <c:pt idx="41">
                  <c:v>1991</c:v>
                </c:pt>
                <c:pt idx="42">
                  <c:v>1992</c:v>
                </c:pt>
                <c:pt idx="43">
                  <c:v>1993</c:v>
                </c:pt>
                <c:pt idx="44">
                  <c:v>1994</c:v>
                </c:pt>
                <c:pt idx="45">
                  <c:v>1995</c:v>
                </c:pt>
                <c:pt idx="46">
                  <c:v>1996</c:v>
                </c:pt>
                <c:pt idx="47">
                  <c:v>1997</c:v>
                </c:pt>
                <c:pt idx="48">
                  <c:v>1998</c:v>
                </c:pt>
                <c:pt idx="49">
                  <c:v>1999</c:v>
                </c:pt>
                <c:pt idx="50">
                  <c:v>2000</c:v>
                </c:pt>
                <c:pt idx="51">
                  <c:v>2001</c:v>
                </c:pt>
                <c:pt idx="52">
                  <c:v>2002</c:v>
                </c:pt>
                <c:pt idx="53">
                  <c:v>2003</c:v>
                </c:pt>
                <c:pt idx="54">
                  <c:v>2004</c:v>
                </c:pt>
                <c:pt idx="55">
                  <c:v>2005</c:v>
                </c:pt>
                <c:pt idx="56">
                  <c:v>2006</c:v>
                </c:pt>
                <c:pt idx="57">
                  <c:v>2007</c:v>
                </c:pt>
                <c:pt idx="58">
                  <c:v>2008</c:v>
                </c:pt>
                <c:pt idx="59">
                  <c:v>2009</c:v>
                </c:pt>
                <c:pt idx="60">
                  <c:v>2010</c:v>
                </c:pt>
                <c:pt idx="61">
                  <c:v>2011</c:v>
                </c:pt>
                <c:pt idx="62">
                  <c:v>2012</c:v>
                </c:pt>
              </c:numCache>
            </c:numRef>
          </c:cat>
          <c:val>
            <c:numRef>
              <c:f>Bakgrundsdata!$B$46:$BL$46</c:f>
              <c:numCache>
                <c:formatCode>#,##0</c:formatCode>
                <c:ptCount val="63"/>
                <c:pt idx="0">
                  <c:v>370832</c:v>
                </c:pt>
                <c:pt idx="1">
                  <c:v>375193</c:v>
                </c:pt>
                <c:pt idx="2">
                  <c:v>380198</c:v>
                </c:pt>
                <c:pt idx="3">
                  <c:v>384868</c:v>
                </c:pt>
                <c:pt idx="4">
                  <c:v>390801</c:v>
                </c:pt>
                <c:pt idx="5">
                  <c:v>397929</c:v>
                </c:pt>
                <c:pt idx="6">
                  <c:v>404701</c:v>
                </c:pt>
                <c:pt idx="7">
                  <c:v>410396</c:v>
                </c:pt>
                <c:pt idx="8">
                  <c:v>415398</c:v>
                </c:pt>
                <c:pt idx="9">
                  <c:v>419269</c:v>
                </c:pt>
                <c:pt idx="10">
                  <c:v>423983</c:v>
                </c:pt>
                <c:pt idx="11">
                  <c:v>427707</c:v>
                </c:pt>
                <c:pt idx="12">
                  <c:v>431559</c:v>
                </c:pt>
                <c:pt idx="13">
                  <c:v>436400</c:v>
                </c:pt>
                <c:pt idx="14">
                  <c:v>442185</c:v>
                </c:pt>
                <c:pt idx="15">
                  <c:v>447771</c:v>
                </c:pt>
                <c:pt idx="16">
                  <c:v>453079</c:v>
                </c:pt>
                <c:pt idx="17">
                  <c:v>455936</c:v>
                </c:pt>
                <c:pt idx="18">
                  <c:v>456057</c:v>
                </c:pt>
                <c:pt idx="19">
                  <c:v>459082</c:v>
                </c:pt>
                <c:pt idx="20">
                  <c:v>465527</c:v>
                </c:pt>
                <c:pt idx="21">
                  <c:v>464531</c:v>
                </c:pt>
                <c:pt idx="22">
                  <c:v>456501</c:v>
                </c:pt>
                <c:pt idx="23">
                  <c:v>449470</c:v>
                </c:pt>
                <c:pt idx="24">
                  <c:v>445704</c:v>
                </c:pt>
                <c:pt idx="25">
                  <c:v>444651</c:v>
                </c:pt>
                <c:pt idx="26">
                  <c:v>442410</c:v>
                </c:pt>
                <c:pt idx="27">
                  <c:v>440082</c:v>
                </c:pt>
                <c:pt idx="28">
                  <c:v>436985</c:v>
                </c:pt>
                <c:pt idx="29">
                  <c:v>434699</c:v>
                </c:pt>
                <c:pt idx="30">
                  <c:v>431273</c:v>
                </c:pt>
                <c:pt idx="31">
                  <c:v>428171</c:v>
                </c:pt>
                <c:pt idx="32">
                  <c:v>425875</c:v>
                </c:pt>
                <c:pt idx="33">
                  <c:v>424186</c:v>
                </c:pt>
                <c:pt idx="34">
                  <c:v>424085</c:v>
                </c:pt>
                <c:pt idx="35">
                  <c:v>425495</c:v>
                </c:pt>
                <c:pt idx="36">
                  <c:v>429339</c:v>
                </c:pt>
                <c:pt idx="37">
                  <c:v>431521</c:v>
                </c:pt>
                <c:pt idx="38">
                  <c:v>430763</c:v>
                </c:pt>
                <c:pt idx="39">
                  <c:v>431840</c:v>
                </c:pt>
                <c:pt idx="40">
                  <c:v>433042</c:v>
                </c:pt>
                <c:pt idx="41">
                  <c:v>432112</c:v>
                </c:pt>
                <c:pt idx="42">
                  <c:v>433811</c:v>
                </c:pt>
                <c:pt idx="43">
                  <c:v>437313</c:v>
                </c:pt>
                <c:pt idx="44">
                  <c:v>444553</c:v>
                </c:pt>
                <c:pt idx="45">
                  <c:v>449189</c:v>
                </c:pt>
                <c:pt idx="46">
                  <c:v>454016</c:v>
                </c:pt>
                <c:pt idx="47">
                  <c:v>456611</c:v>
                </c:pt>
                <c:pt idx="48">
                  <c:v>459593</c:v>
                </c:pt>
                <c:pt idx="49">
                  <c:v>462470</c:v>
                </c:pt>
                <c:pt idx="50">
                  <c:v>466990</c:v>
                </c:pt>
                <c:pt idx="51">
                  <c:v>471267</c:v>
                </c:pt>
                <c:pt idx="52">
                  <c:v>474921</c:v>
                </c:pt>
                <c:pt idx="53">
                  <c:v>478055</c:v>
                </c:pt>
                <c:pt idx="54">
                  <c:v>481410</c:v>
                </c:pt>
                <c:pt idx="55">
                  <c:v>484942</c:v>
                </c:pt>
                <c:pt idx="56">
                  <c:v>489757</c:v>
                </c:pt>
                <c:pt idx="57">
                  <c:v>493502</c:v>
                </c:pt>
                <c:pt idx="58">
                  <c:v>500197</c:v>
                </c:pt>
                <c:pt idx="59">
                  <c:v>507330</c:v>
                </c:pt>
                <c:pt idx="60">
                  <c:v>513751</c:v>
                </c:pt>
                <c:pt idx="61">
                  <c:v>520374</c:v>
                </c:pt>
                <c:pt idx="62">
                  <c:v>526089</c:v>
                </c:pt>
              </c:numCache>
            </c:numRef>
          </c:val>
          <c:smooth val="0"/>
        </c:ser>
        <c:dLbls>
          <c:showLegendKey val="0"/>
          <c:showVal val="0"/>
          <c:showCatName val="0"/>
          <c:showSerName val="0"/>
          <c:showPercent val="0"/>
          <c:showBubbleSize val="0"/>
        </c:dLbls>
        <c:marker val="1"/>
        <c:smooth val="0"/>
        <c:axId val="95368704"/>
        <c:axId val="95370240"/>
      </c:lineChart>
      <c:catAx>
        <c:axId val="95368704"/>
        <c:scaling>
          <c:orientation val="minMax"/>
        </c:scaling>
        <c:delete val="0"/>
        <c:axPos val="b"/>
        <c:numFmt formatCode="General" sourceLinked="1"/>
        <c:majorTickMark val="out"/>
        <c:minorTickMark val="none"/>
        <c:tickLblPos val="nextTo"/>
        <c:crossAx val="95370240"/>
        <c:crosses val="autoZero"/>
        <c:auto val="1"/>
        <c:lblAlgn val="ctr"/>
        <c:lblOffset val="100"/>
        <c:noMultiLvlLbl val="0"/>
      </c:catAx>
      <c:valAx>
        <c:axId val="95370240"/>
        <c:scaling>
          <c:orientation val="minMax"/>
        </c:scaling>
        <c:delete val="0"/>
        <c:axPos val="l"/>
        <c:majorGridlines/>
        <c:numFmt formatCode="#,##0" sourceLinked="1"/>
        <c:majorTickMark val="out"/>
        <c:minorTickMark val="none"/>
        <c:tickLblPos val="nextTo"/>
        <c:crossAx val="95368704"/>
        <c:crosses val="autoZero"/>
        <c:crossBetween val="between"/>
      </c:valAx>
    </c:plotArea>
    <c:legend>
      <c:legendPos val="r"/>
      <c:overlay val="0"/>
    </c:legend>
    <c:plotVisOnly val="1"/>
    <c:dispBlanksAs val="gap"/>
    <c:showDLblsOverMax val="0"/>
  </c:chart>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marker>
            <c:symbol val="none"/>
          </c:marker>
          <c:val>
            <c:numRef>
              <c:f>Bakgrundsdata!$AK$45:$BY$45</c:f>
              <c:numCache>
                <c:formatCode>General</c:formatCode>
                <c:ptCount val="41"/>
                <c:pt idx="0">
                  <c:v>1985</c:v>
                </c:pt>
                <c:pt idx="1">
                  <c:v>1986</c:v>
                </c:pt>
                <c:pt idx="2">
                  <c:v>1987</c:v>
                </c:pt>
                <c:pt idx="3">
                  <c:v>1988</c:v>
                </c:pt>
                <c:pt idx="4">
                  <c:v>1989</c:v>
                </c:pt>
                <c:pt idx="5">
                  <c:v>1990</c:v>
                </c:pt>
                <c:pt idx="6">
                  <c:v>1991</c:v>
                </c:pt>
                <c:pt idx="7">
                  <c:v>1992</c:v>
                </c:pt>
                <c:pt idx="8">
                  <c:v>1993</c:v>
                </c:pt>
                <c:pt idx="9">
                  <c:v>1994</c:v>
                </c:pt>
                <c:pt idx="10">
                  <c:v>1995</c:v>
                </c:pt>
                <c:pt idx="11">
                  <c:v>1996</c:v>
                </c:pt>
                <c:pt idx="12">
                  <c:v>1997</c:v>
                </c:pt>
                <c:pt idx="13">
                  <c:v>1998</c:v>
                </c:pt>
                <c:pt idx="14">
                  <c:v>1999</c:v>
                </c:pt>
                <c:pt idx="15">
                  <c:v>2000</c:v>
                </c:pt>
                <c:pt idx="16">
                  <c:v>2001</c:v>
                </c:pt>
                <c:pt idx="17">
                  <c:v>2002</c:v>
                </c:pt>
                <c:pt idx="18">
                  <c:v>2003</c:v>
                </c:pt>
                <c:pt idx="19">
                  <c:v>2004</c:v>
                </c:pt>
                <c:pt idx="20">
                  <c:v>2005</c:v>
                </c:pt>
                <c:pt idx="21">
                  <c:v>2006</c:v>
                </c:pt>
                <c:pt idx="22">
                  <c:v>2007</c:v>
                </c:pt>
                <c:pt idx="23">
                  <c:v>2008</c:v>
                </c:pt>
                <c:pt idx="24">
                  <c:v>2009</c:v>
                </c:pt>
                <c:pt idx="25">
                  <c:v>2010</c:v>
                </c:pt>
                <c:pt idx="26">
                  <c:v>2011</c:v>
                </c:pt>
                <c:pt idx="27">
                  <c:v>2012</c:v>
                </c:pt>
                <c:pt idx="28">
                  <c:v>2013</c:v>
                </c:pt>
                <c:pt idx="29">
                  <c:v>2014</c:v>
                </c:pt>
                <c:pt idx="30">
                  <c:v>2015</c:v>
                </c:pt>
                <c:pt idx="31">
                  <c:v>2016</c:v>
                </c:pt>
                <c:pt idx="32">
                  <c:v>2017</c:v>
                </c:pt>
                <c:pt idx="33">
                  <c:v>2018</c:v>
                </c:pt>
                <c:pt idx="34">
                  <c:v>2019</c:v>
                </c:pt>
                <c:pt idx="35">
                  <c:v>2020</c:v>
                </c:pt>
                <c:pt idx="36">
                  <c:v>2021</c:v>
                </c:pt>
                <c:pt idx="37">
                  <c:v>2022</c:v>
                </c:pt>
                <c:pt idx="38">
                  <c:v>2023</c:v>
                </c:pt>
                <c:pt idx="39">
                  <c:v>2024</c:v>
                </c:pt>
                <c:pt idx="40">
                  <c:v>2025</c:v>
                </c:pt>
              </c:numCache>
            </c:numRef>
          </c:val>
          <c:smooth val="0"/>
        </c:ser>
        <c:ser>
          <c:idx val="1"/>
          <c:order val="1"/>
          <c:marker>
            <c:symbol val="none"/>
          </c:marker>
          <c:val>
            <c:numRef>
              <c:f>Bakgrundsdata!$AK$46:$BY$46</c:f>
              <c:numCache>
                <c:formatCode>#,##0</c:formatCode>
                <c:ptCount val="41"/>
                <c:pt idx="0">
                  <c:v>425495</c:v>
                </c:pt>
                <c:pt idx="1">
                  <c:v>429339</c:v>
                </c:pt>
                <c:pt idx="2">
                  <c:v>431521</c:v>
                </c:pt>
                <c:pt idx="3">
                  <c:v>430763</c:v>
                </c:pt>
                <c:pt idx="4">
                  <c:v>431840</c:v>
                </c:pt>
                <c:pt idx="5">
                  <c:v>433042</c:v>
                </c:pt>
                <c:pt idx="6">
                  <c:v>432112</c:v>
                </c:pt>
                <c:pt idx="7">
                  <c:v>433811</c:v>
                </c:pt>
                <c:pt idx="8">
                  <c:v>437313</c:v>
                </c:pt>
                <c:pt idx="9">
                  <c:v>444553</c:v>
                </c:pt>
                <c:pt idx="10">
                  <c:v>449189</c:v>
                </c:pt>
                <c:pt idx="11">
                  <c:v>454016</c:v>
                </c:pt>
                <c:pt idx="12">
                  <c:v>456611</c:v>
                </c:pt>
                <c:pt idx="13">
                  <c:v>459593</c:v>
                </c:pt>
                <c:pt idx="14">
                  <c:v>462470</c:v>
                </c:pt>
                <c:pt idx="15">
                  <c:v>466990</c:v>
                </c:pt>
                <c:pt idx="16">
                  <c:v>471267</c:v>
                </c:pt>
                <c:pt idx="17">
                  <c:v>474921</c:v>
                </c:pt>
                <c:pt idx="18">
                  <c:v>478055</c:v>
                </c:pt>
                <c:pt idx="19">
                  <c:v>481410</c:v>
                </c:pt>
                <c:pt idx="20">
                  <c:v>484942</c:v>
                </c:pt>
                <c:pt idx="21">
                  <c:v>489757</c:v>
                </c:pt>
                <c:pt idx="22">
                  <c:v>493502</c:v>
                </c:pt>
                <c:pt idx="23">
                  <c:v>500197</c:v>
                </c:pt>
                <c:pt idx="24">
                  <c:v>507330</c:v>
                </c:pt>
                <c:pt idx="25">
                  <c:v>513751</c:v>
                </c:pt>
                <c:pt idx="26">
                  <c:v>520374</c:v>
                </c:pt>
                <c:pt idx="27">
                  <c:v>526089</c:v>
                </c:pt>
                <c:pt idx="28">
                  <c:v>532366.42332650488</c:v>
                </c:pt>
                <c:pt idx="29">
                  <c:v>538813.42751486506</c:v>
                </c:pt>
                <c:pt idx="30">
                  <c:v>544929.46179550781</c:v>
                </c:pt>
                <c:pt idx="31">
                  <c:v>551149.73988951987</c:v>
                </c:pt>
                <c:pt idx="32">
                  <c:v>557466.68882349029</c:v>
                </c:pt>
                <c:pt idx="33">
                  <c:v>563865.40847259003</c:v>
                </c:pt>
                <c:pt idx="34">
                  <c:v>570338.14204012731</c:v>
                </c:pt>
                <c:pt idx="35">
                  <c:v>576875.92616538797</c:v>
                </c:pt>
                <c:pt idx="36">
                  <c:v>583465.96903595247</c:v>
                </c:pt>
                <c:pt idx="37">
                  <c:v>590101.42911455675</c:v>
                </c:pt>
                <c:pt idx="38">
                  <c:v>596773.19410423224</c:v>
                </c:pt>
                <c:pt idx="39">
                  <c:v>603432.74022590066</c:v>
                </c:pt>
                <c:pt idx="40">
                  <c:v>610114.69461465627</c:v>
                </c:pt>
              </c:numCache>
            </c:numRef>
          </c:val>
          <c:smooth val="0"/>
        </c:ser>
        <c:dLbls>
          <c:showLegendKey val="0"/>
          <c:showVal val="0"/>
          <c:showCatName val="0"/>
          <c:showSerName val="0"/>
          <c:showPercent val="0"/>
          <c:showBubbleSize val="0"/>
        </c:dLbls>
        <c:marker val="1"/>
        <c:smooth val="0"/>
        <c:axId val="95400704"/>
        <c:axId val="95402240"/>
      </c:lineChart>
      <c:catAx>
        <c:axId val="95400704"/>
        <c:scaling>
          <c:orientation val="minMax"/>
        </c:scaling>
        <c:delete val="0"/>
        <c:axPos val="b"/>
        <c:majorTickMark val="out"/>
        <c:minorTickMark val="none"/>
        <c:tickLblPos val="nextTo"/>
        <c:crossAx val="95402240"/>
        <c:crosses val="autoZero"/>
        <c:auto val="1"/>
        <c:lblAlgn val="ctr"/>
        <c:lblOffset val="100"/>
        <c:noMultiLvlLbl val="0"/>
      </c:catAx>
      <c:valAx>
        <c:axId val="95402240"/>
        <c:scaling>
          <c:orientation val="minMax"/>
        </c:scaling>
        <c:delete val="0"/>
        <c:axPos val="l"/>
        <c:majorGridlines/>
        <c:numFmt formatCode="General" sourceLinked="1"/>
        <c:majorTickMark val="out"/>
        <c:minorTickMark val="none"/>
        <c:tickLblPos val="nextTo"/>
        <c:crossAx val="95400704"/>
        <c:crosses val="autoZero"/>
        <c:crossBetween val="between"/>
      </c:valAx>
    </c:plotArea>
    <c:legend>
      <c:legendPos val="r"/>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'BAU 2050'!$A$36</c:f>
              <c:strCache>
                <c:ptCount val="1"/>
                <c:pt idx="0">
                  <c:v>Offentlig konsumtion</c:v>
                </c:pt>
              </c:strCache>
            </c:strRef>
          </c:tx>
          <c:invertIfNegative val="0"/>
          <c:cat>
            <c:strRef>
              <c:f>'BAU 2050'!$B$35:$D$35</c:f>
              <c:strCache>
                <c:ptCount val="3"/>
                <c:pt idx="0">
                  <c:v>Höginkomstfamilj</c:v>
                </c:pt>
                <c:pt idx="1">
                  <c:v>Låginkomstfamilj</c:v>
                </c:pt>
                <c:pt idx="2">
                  <c:v>Medelgöteborgaren</c:v>
                </c:pt>
              </c:strCache>
            </c:strRef>
          </c:cat>
          <c:val>
            <c:numRef>
              <c:f>'BAU 2050'!$B$36:$D$36</c:f>
              <c:numCache>
                <c:formatCode>0.000</c:formatCode>
                <c:ptCount val="3"/>
                <c:pt idx="0">
                  <c:v>1.74</c:v>
                </c:pt>
                <c:pt idx="1">
                  <c:v>1.74</c:v>
                </c:pt>
                <c:pt idx="2">
                  <c:v>1.74</c:v>
                </c:pt>
              </c:numCache>
            </c:numRef>
          </c:val>
        </c:ser>
        <c:ser>
          <c:idx val="1"/>
          <c:order val="1"/>
          <c:tx>
            <c:strRef>
              <c:f>'BAU 2050'!$A$37</c:f>
              <c:strCache>
                <c:ptCount val="1"/>
                <c:pt idx="0">
                  <c:v>Mat</c:v>
                </c:pt>
              </c:strCache>
            </c:strRef>
          </c:tx>
          <c:invertIfNegative val="0"/>
          <c:cat>
            <c:strRef>
              <c:f>'BAU 2050'!$B$35:$D$35</c:f>
              <c:strCache>
                <c:ptCount val="3"/>
                <c:pt idx="0">
                  <c:v>Höginkomstfamilj</c:v>
                </c:pt>
                <c:pt idx="1">
                  <c:v>Låginkomstfamilj</c:v>
                </c:pt>
                <c:pt idx="2">
                  <c:v>Medelgöteborgaren</c:v>
                </c:pt>
              </c:strCache>
            </c:strRef>
          </c:cat>
          <c:val>
            <c:numRef>
              <c:f>'BAU 2050'!$B$37:$D$37</c:f>
              <c:numCache>
                <c:formatCode>0.000</c:formatCode>
                <c:ptCount val="3"/>
                <c:pt idx="0">
                  <c:v>1.901</c:v>
                </c:pt>
                <c:pt idx="1">
                  <c:v>1.901</c:v>
                </c:pt>
                <c:pt idx="2">
                  <c:v>1.901</c:v>
                </c:pt>
              </c:numCache>
            </c:numRef>
          </c:val>
        </c:ser>
        <c:ser>
          <c:idx val="2"/>
          <c:order val="2"/>
          <c:tx>
            <c:strRef>
              <c:f>'BAU 2050'!$A$38</c:f>
              <c:strCache>
                <c:ptCount val="1"/>
                <c:pt idx="0">
                  <c:v>Uppvärmning</c:v>
                </c:pt>
              </c:strCache>
            </c:strRef>
          </c:tx>
          <c:invertIfNegative val="0"/>
          <c:cat>
            <c:strRef>
              <c:f>'BAU 2050'!$B$35:$D$35</c:f>
              <c:strCache>
                <c:ptCount val="3"/>
                <c:pt idx="0">
                  <c:v>Höginkomstfamilj</c:v>
                </c:pt>
                <c:pt idx="1">
                  <c:v>Låginkomstfamilj</c:v>
                </c:pt>
                <c:pt idx="2">
                  <c:v>Medelgöteborgaren</c:v>
                </c:pt>
              </c:strCache>
            </c:strRef>
          </c:cat>
          <c:val>
            <c:numRef>
              <c:f>'BAU 2050'!$B$38:$D$38</c:f>
              <c:numCache>
                <c:formatCode>0.000</c:formatCode>
                <c:ptCount val="3"/>
                <c:pt idx="0">
                  <c:v>0.82009595433832438</c:v>
                </c:pt>
                <c:pt idx="1">
                  <c:v>0.60458573000603111</c:v>
                </c:pt>
                <c:pt idx="2">
                  <c:v>0.62004226759283776</c:v>
                </c:pt>
              </c:numCache>
            </c:numRef>
          </c:val>
        </c:ser>
        <c:ser>
          <c:idx val="3"/>
          <c:order val="3"/>
          <c:tx>
            <c:strRef>
              <c:f>'BAU 2050'!$A$39</c:f>
              <c:strCache>
                <c:ptCount val="1"/>
                <c:pt idx="0">
                  <c:v>Hushållsel</c:v>
                </c:pt>
              </c:strCache>
            </c:strRef>
          </c:tx>
          <c:invertIfNegative val="0"/>
          <c:cat>
            <c:strRef>
              <c:f>'BAU 2050'!$B$35:$D$35</c:f>
              <c:strCache>
                <c:ptCount val="3"/>
                <c:pt idx="0">
                  <c:v>Höginkomstfamilj</c:v>
                </c:pt>
                <c:pt idx="1">
                  <c:v>Låginkomstfamilj</c:v>
                </c:pt>
                <c:pt idx="2">
                  <c:v>Medelgöteborgaren</c:v>
                </c:pt>
              </c:strCache>
            </c:strRef>
          </c:cat>
          <c:val>
            <c:numRef>
              <c:f>'BAU 2050'!$B$39:$D$39</c:f>
              <c:numCache>
                <c:formatCode>0.000</c:formatCode>
                <c:ptCount val="3"/>
                <c:pt idx="0">
                  <c:v>0.21649816393874069</c:v>
                </c:pt>
                <c:pt idx="1">
                  <c:v>0.19387115332192326</c:v>
                </c:pt>
                <c:pt idx="2">
                  <c:v>0.25767484609965963</c:v>
                </c:pt>
              </c:numCache>
            </c:numRef>
          </c:val>
        </c:ser>
        <c:ser>
          <c:idx val="4"/>
          <c:order val="4"/>
          <c:tx>
            <c:strRef>
              <c:f>'BAU 2050'!$A$40</c:f>
              <c:strCache>
                <c:ptCount val="1"/>
                <c:pt idx="0">
                  <c:v>Kollektivtrafik</c:v>
                </c:pt>
              </c:strCache>
            </c:strRef>
          </c:tx>
          <c:invertIfNegative val="0"/>
          <c:cat>
            <c:strRef>
              <c:f>'BAU 2050'!$B$35:$D$35</c:f>
              <c:strCache>
                <c:ptCount val="3"/>
                <c:pt idx="0">
                  <c:v>Höginkomstfamilj</c:v>
                </c:pt>
                <c:pt idx="1">
                  <c:v>Låginkomstfamilj</c:v>
                </c:pt>
                <c:pt idx="2">
                  <c:v>Medelgöteborgaren</c:v>
                </c:pt>
              </c:strCache>
            </c:strRef>
          </c:cat>
          <c:val>
            <c:numRef>
              <c:f>'BAU 2050'!$B$40:$D$40</c:f>
              <c:numCache>
                <c:formatCode>0.000</c:formatCode>
                <c:ptCount val="3"/>
                <c:pt idx="0">
                  <c:v>5.5126619286069004E-2</c:v>
                </c:pt>
                <c:pt idx="1">
                  <c:v>8.4111128253153936E-2</c:v>
                </c:pt>
                <c:pt idx="2">
                  <c:v>2.7467193354758276E-2</c:v>
                </c:pt>
              </c:numCache>
            </c:numRef>
          </c:val>
        </c:ser>
        <c:ser>
          <c:idx val="5"/>
          <c:order val="5"/>
          <c:tx>
            <c:strRef>
              <c:f>'BAU 2050'!$A$41</c:f>
              <c:strCache>
                <c:ptCount val="1"/>
                <c:pt idx="0">
                  <c:v>Bil</c:v>
                </c:pt>
              </c:strCache>
            </c:strRef>
          </c:tx>
          <c:invertIfNegative val="0"/>
          <c:cat>
            <c:strRef>
              <c:f>'BAU 2050'!$B$35:$D$35</c:f>
              <c:strCache>
                <c:ptCount val="3"/>
                <c:pt idx="0">
                  <c:v>Höginkomstfamilj</c:v>
                </c:pt>
                <c:pt idx="1">
                  <c:v>Låginkomstfamilj</c:v>
                </c:pt>
                <c:pt idx="2">
                  <c:v>Medelgöteborgaren</c:v>
                </c:pt>
              </c:strCache>
            </c:strRef>
          </c:cat>
          <c:val>
            <c:numRef>
              <c:f>'BAU 2050'!$B$41:$D$41</c:f>
              <c:numCache>
                <c:formatCode>0.000</c:formatCode>
                <c:ptCount val="3"/>
                <c:pt idx="0">
                  <c:v>2.0173634065208179</c:v>
                </c:pt>
                <c:pt idx="1">
                  <c:v>0.28037541416266792</c:v>
                </c:pt>
                <c:pt idx="2">
                  <c:v>1.0534381078332515</c:v>
                </c:pt>
              </c:numCache>
            </c:numRef>
          </c:val>
        </c:ser>
        <c:ser>
          <c:idx val="6"/>
          <c:order val="6"/>
          <c:tx>
            <c:strRef>
              <c:f>'BAU 2050'!$A$42</c:f>
              <c:strCache>
                <c:ptCount val="1"/>
                <c:pt idx="0">
                  <c:v>Övrig konsumtion</c:v>
                </c:pt>
              </c:strCache>
            </c:strRef>
          </c:tx>
          <c:invertIfNegative val="0"/>
          <c:cat>
            <c:strRef>
              <c:f>'BAU 2050'!$B$35:$D$35</c:f>
              <c:strCache>
                <c:ptCount val="3"/>
                <c:pt idx="0">
                  <c:v>Höginkomstfamilj</c:v>
                </c:pt>
                <c:pt idx="1">
                  <c:v>Låginkomstfamilj</c:v>
                </c:pt>
                <c:pt idx="2">
                  <c:v>Medelgöteborgaren</c:v>
                </c:pt>
              </c:strCache>
            </c:strRef>
          </c:cat>
          <c:val>
            <c:numRef>
              <c:f>'BAU 2050'!$B$42:$D$42</c:f>
              <c:numCache>
                <c:formatCode>0.000</c:formatCode>
                <c:ptCount val="3"/>
                <c:pt idx="0">
                  <c:v>2.8788710935067301</c:v>
                </c:pt>
                <c:pt idx="1">
                  <c:v>1.617394012992081</c:v>
                </c:pt>
                <c:pt idx="2">
                  <c:v>2.2189226724833286</c:v>
                </c:pt>
              </c:numCache>
            </c:numRef>
          </c:val>
        </c:ser>
        <c:ser>
          <c:idx val="7"/>
          <c:order val="7"/>
          <c:tx>
            <c:strRef>
              <c:f>'BAU 2050'!$A$43</c:f>
              <c:strCache>
                <c:ptCount val="1"/>
                <c:pt idx="0">
                  <c:v>Flyg</c:v>
                </c:pt>
              </c:strCache>
            </c:strRef>
          </c:tx>
          <c:invertIfNegative val="0"/>
          <c:cat>
            <c:strRef>
              <c:f>'BAU 2050'!$B$35:$D$35</c:f>
              <c:strCache>
                <c:ptCount val="3"/>
                <c:pt idx="0">
                  <c:v>Höginkomstfamilj</c:v>
                </c:pt>
                <c:pt idx="1">
                  <c:v>Låginkomstfamilj</c:v>
                </c:pt>
                <c:pt idx="2">
                  <c:v>Medelgöteborgaren</c:v>
                </c:pt>
              </c:strCache>
            </c:strRef>
          </c:cat>
          <c:val>
            <c:numRef>
              <c:f>'BAU 2050'!$B$43:$D$43</c:f>
              <c:numCache>
                <c:formatCode>0.000</c:formatCode>
                <c:ptCount val="3"/>
                <c:pt idx="0">
                  <c:v>5.1595768205374446</c:v>
                </c:pt>
                <c:pt idx="1">
                  <c:v>1.151691254584251</c:v>
                </c:pt>
                <c:pt idx="2">
                  <c:v>2.3033825091685021</c:v>
                </c:pt>
              </c:numCache>
            </c:numRef>
          </c:val>
        </c:ser>
        <c:dLbls>
          <c:showLegendKey val="0"/>
          <c:showVal val="0"/>
          <c:showCatName val="0"/>
          <c:showSerName val="0"/>
          <c:showPercent val="0"/>
          <c:showBubbleSize val="0"/>
        </c:dLbls>
        <c:gapWidth val="150"/>
        <c:overlap val="100"/>
        <c:axId val="60855424"/>
        <c:axId val="60856960"/>
      </c:barChart>
      <c:catAx>
        <c:axId val="60855424"/>
        <c:scaling>
          <c:orientation val="minMax"/>
        </c:scaling>
        <c:delete val="0"/>
        <c:axPos val="b"/>
        <c:majorTickMark val="out"/>
        <c:minorTickMark val="none"/>
        <c:tickLblPos val="nextTo"/>
        <c:crossAx val="60856960"/>
        <c:crosses val="autoZero"/>
        <c:auto val="1"/>
        <c:lblAlgn val="ctr"/>
        <c:lblOffset val="100"/>
        <c:noMultiLvlLbl val="0"/>
      </c:catAx>
      <c:valAx>
        <c:axId val="60856960"/>
        <c:scaling>
          <c:orientation val="minMax"/>
        </c:scaling>
        <c:delete val="0"/>
        <c:axPos val="l"/>
        <c:majorGridlines/>
        <c:title>
          <c:tx>
            <c:rich>
              <a:bodyPr rot="-5400000" vert="horz"/>
              <a:lstStyle/>
              <a:p>
                <a:pPr>
                  <a:defRPr/>
                </a:pPr>
                <a:r>
                  <a:rPr lang="sv-SE"/>
                  <a:t>ton CO2 ekv/person</a:t>
                </a:r>
              </a:p>
            </c:rich>
          </c:tx>
          <c:overlay val="0"/>
        </c:title>
        <c:numFmt formatCode="0" sourceLinked="0"/>
        <c:majorTickMark val="out"/>
        <c:minorTickMark val="none"/>
        <c:tickLblPos val="nextTo"/>
        <c:crossAx val="60855424"/>
        <c:crosses val="autoZero"/>
        <c:crossBetween val="between"/>
        <c:majorUnit val="1"/>
      </c:valAx>
    </c:plotArea>
    <c:legend>
      <c:legendPos val="r"/>
      <c:layout>
        <c:manualLayout>
          <c:xMode val="edge"/>
          <c:yMode val="edge"/>
          <c:x val="0.6899546333091674"/>
          <c:y val="3.087197433654127E-2"/>
          <c:w val="0.28902431584637278"/>
          <c:h val="0.83177456984543596"/>
        </c:manualLayout>
      </c:layout>
      <c:overlay val="0"/>
    </c:legend>
    <c:plotVisOnly val="1"/>
    <c:dispBlanksAs val="gap"/>
    <c:showDLblsOverMax val="0"/>
  </c:chart>
  <c:spPr>
    <a:ln>
      <a:noFill/>
    </a:ln>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'DKI 2050'!$A$38</c:f>
              <c:strCache>
                <c:ptCount val="1"/>
                <c:pt idx="0">
                  <c:v>Offentlig konsumtion</c:v>
                </c:pt>
              </c:strCache>
            </c:strRef>
          </c:tx>
          <c:invertIfNegative val="0"/>
          <c:cat>
            <c:strRef>
              <c:f>'DKI 2050'!$B$37:$D$37</c:f>
              <c:strCache>
                <c:ptCount val="3"/>
                <c:pt idx="0">
                  <c:v>Höginkomstfamilj</c:v>
                </c:pt>
                <c:pt idx="1">
                  <c:v>Låginkomstfamilj</c:v>
                </c:pt>
                <c:pt idx="2">
                  <c:v>Medelgöteborgaren</c:v>
                </c:pt>
              </c:strCache>
            </c:strRef>
          </c:cat>
          <c:val>
            <c:numRef>
              <c:f>'DKI 2050'!$B$38:$D$38</c:f>
              <c:numCache>
                <c:formatCode>0.000</c:formatCode>
                <c:ptCount val="3"/>
                <c:pt idx="0">
                  <c:v>0.70511105879090996</c:v>
                </c:pt>
                <c:pt idx="1">
                  <c:v>0.70511105879090996</c:v>
                </c:pt>
                <c:pt idx="2">
                  <c:v>0.70511105879090996</c:v>
                </c:pt>
              </c:numCache>
            </c:numRef>
          </c:val>
        </c:ser>
        <c:ser>
          <c:idx val="1"/>
          <c:order val="1"/>
          <c:tx>
            <c:strRef>
              <c:f>'DKI 2050'!$A$39</c:f>
              <c:strCache>
                <c:ptCount val="1"/>
                <c:pt idx="0">
                  <c:v>Mat</c:v>
                </c:pt>
              </c:strCache>
            </c:strRef>
          </c:tx>
          <c:invertIfNegative val="0"/>
          <c:cat>
            <c:strRef>
              <c:f>'DKI 2050'!$B$37:$D$37</c:f>
              <c:strCache>
                <c:ptCount val="3"/>
                <c:pt idx="0">
                  <c:v>Höginkomstfamilj</c:v>
                </c:pt>
                <c:pt idx="1">
                  <c:v>Låginkomstfamilj</c:v>
                </c:pt>
                <c:pt idx="2">
                  <c:v>Medelgöteborgaren</c:v>
                </c:pt>
              </c:strCache>
            </c:strRef>
          </c:cat>
          <c:val>
            <c:numRef>
              <c:f>'DKI 2050'!$B$39:$D$39</c:f>
              <c:numCache>
                <c:formatCode>0.000</c:formatCode>
                <c:ptCount val="3"/>
                <c:pt idx="0">
                  <c:v>1.331</c:v>
                </c:pt>
                <c:pt idx="1">
                  <c:v>1.331</c:v>
                </c:pt>
                <c:pt idx="2">
                  <c:v>1.331</c:v>
                </c:pt>
              </c:numCache>
            </c:numRef>
          </c:val>
        </c:ser>
        <c:ser>
          <c:idx val="2"/>
          <c:order val="2"/>
          <c:tx>
            <c:strRef>
              <c:f>'DKI 2050'!$A$40</c:f>
              <c:strCache>
                <c:ptCount val="1"/>
                <c:pt idx="0">
                  <c:v>Uppvärmning</c:v>
                </c:pt>
              </c:strCache>
            </c:strRef>
          </c:tx>
          <c:invertIfNegative val="0"/>
          <c:cat>
            <c:strRef>
              <c:f>'DKI 2050'!$B$37:$D$37</c:f>
              <c:strCache>
                <c:ptCount val="3"/>
                <c:pt idx="0">
                  <c:v>Höginkomstfamilj</c:v>
                </c:pt>
                <c:pt idx="1">
                  <c:v>Låginkomstfamilj</c:v>
                </c:pt>
                <c:pt idx="2">
                  <c:v>Medelgöteborgaren</c:v>
                </c:pt>
              </c:strCache>
            </c:strRef>
          </c:cat>
          <c:val>
            <c:numRef>
              <c:f>'DKI 2050'!$B$40:$D$40</c:f>
              <c:numCache>
                <c:formatCode>0.000</c:formatCode>
                <c:ptCount val="3"/>
                <c:pt idx="0">
                  <c:v>0.57122979101982008</c:v>
                </c:pt>
                <c:pt idx="1">
                  <c:v>0.42111825863542296</c:v>
                </c:pt>
                <c:pt idx="2">
                  <c:v>0.17338549420757535</c:v>
                </c:pt>
              </c:numCache>
            </c:numRef>
          </c:val>
        </c:ser>
        <c:ser>
          <c:idx val="3"/>
          <c:order val="3"/>
          <c:tx>
            <c:strRef>
              <c:f>'DKI 2050'!$A$41</c:f>
              <c:strCache>
                <c:ptCount val="1"/>
                <c:pt idx="0">
                  <c:v>Hushållsel</c:v>
                </c:pt>
              </c:strCache>
            </c:strRef>
          </c:tx>
          <c:invertIfNegative val="0"/>
          <c:cat>
            <c:strRef>
              <c:f>'DKI 2050'!$B$37:$D$37</c:f>
              <c:strCache>
                <c:ptCount val="3"/>
                <c:pt idx="0">
                  <c:v>Höginkomstfamilj</c:v>
                </c:pt>
                <c:pt idx="1">
                  <c:v>Låginkomstfamilj</c:v>
                </c:pt>
                <c:pt idx="2">
                  <c:v>Medelgöteborgaren</c:v>
                </c:pt>
              </c:strCache>
            </c:strRef>
          </c:cat>
          <c:val>
            <c:numRef>
              <c:f>'DKI 2050'!$B$41:$D$41</c:f>
              <c:numCache>
                <c:formatCode>0.000</c:formatCode>
                <c:ptCount val="3"/>
                <c:pt idx="0">
                  <c:v>6.7180985054337825E-2</c:v>
                </c:pt>
                <c:pt idx="1">
                  <c:v>6.015965593811088E-2</c:v>
                </c:pt>
                <c:pt idx="2">
                  <c:v>7.9958414749412038E-2</c:v>
                </c:pt>
              </c:numCache>
            </c:numRef>
          </c:val>
        </c:ser>
        <c:ser>
          <c:idx val="4"/>
          <c:order val="4"/>
          <c:tx>
            <c:strRef>
              <c:f>'DKI 2050'!$A$42</c:f>
              <c:strCache>
                <c:ptCount val="1"/>
                <c:pt idx="0">
                  <c:v>Kollektivtrafik</c:v>
                </c:pt>
              </c:strCache>
            </c:strRef>
          </c:tx>
          <c:invertIfNegative val="0"/>
          <c:cat>
            <c:strRef>
              <c:f>'DKI 2050'!$B$37:$D$37</c:f>
              <c:strCache>
                <c:ptCount val="3"/>
                <c:pt idx="0">
                  <c:v>Höginkomstfamilj</c:v>
                </c:pt>
                <c:pt idx="1">
                  <c:v>Låginkomstfamilj</c:v>
                </c:pt>
                <c:pt idx="2">
                  <c:v>Medelgöteborgaren</c:v>
                </c:pt>
              </c:strCache>
            </c:strRef>
          </c:cat>
          <c:val>
            <c:numRef>
              <c:f>'DKI 2050'!$B$42:$D$42</c:f>
              <c:numCache>
                <c:formatCode>0.000</c:formatCode>
                <c:ptCount val="3"/>
                <c:pt idx="0">
                  <c:v>1.294248941062018E-2</c:v>
                </c:pt>
                <c:pt idx="1">
                  <c:v>1.9747399728661786E-2</c:v>
                </c:pt>
                <c:pt idx="2">
                  <c:v>6.4486787642218518E-3</c:v>
                </c:pt>
              </c:numCache>
            </c:numRef>
          </c:val>
        </c:ser>
        <c:ser>
          <c:idx val="5"/>
          <c:order val="5"/>
          <c:tx>
            <c:strRef>
              <c:f>'DKI 2050'!$A$43</c:f>
              <c:strCache>
                <c:ptCount val="1"/>
                <c:pt idx="0">
                  <c:v>Bil</c:v>
                </c:pt>
              </c:strCache>
            </c:strRef>
          </c:tx>
          <c:invertIfNegative val="0"/>
          <c:cat>
            <c:strRef>
              <c:f>'DKI 2050'!$B$37:$D$37</c:f>
              <c:strCache>
                <c:ptCount val="3"/>
                <c:pt idx="0">
                  <c:v>Höginkomstfamilj</c:v>
                </c:pt>
                <c:pt idx="1">
                  <c:v>Låginkomstfamilj</c:v>
                </c:pt>
                <c:pt idx="2">
                  <c:v>Medelgöteborgaren</c:v>
                </c:pt>
              </c:strCache>
            </c:strRef>
          </c:cat>
          <c:val>
            <c:numRef>
              <c:f>'DKI 2050'!$B$43:$D$43</c:f>
              <c:numCache>
                <c:formatCode>0.000</c:formatCode>
                <c:ptCount val="3"/>
                <c:pt idx="0">
                  <c:v>5.5176753261117283E-2</c:v>
                </c:pt>
                <c:pt idx="1">
                  <c:v>0</c:v>
                </c:pt>
                <c:pt idx="2">
                  <c:v>3.9288707923558881E-2</c:v>
                </c:pt>
              </c:numCache>
            </c:numRef>
          </c:val>
        </c:ser>
        <c:ser>
          <c:idx val="6"/>
          <c:order val="6"/>
          <c:tx>
            <c:strRef>
              <c:f>'DKI 2050'!$A$44</c:f>
              <c:strCache>
                <c:ptCount val="1"/>
                <c:pt idx="0">
                  <c:v>Övrig konsumtion</c:v>
                </c:pt>
              </c:strCache>
            </c:strRef>
          </c:tx>
          <c:invertIfNegative val="0"/>
          <c:cat>
            <c:strRef>
              <c:f>'DKI 2050'!$B$37:$D$37</c:f>
              <c:strCache>
                <c:ptCount val="3"/>
                <c:pt idx="0">
                  <c:v>Höginkomstfamilj</c:v>
                </c:pt>
                <c:pt idx="1">
                  <c:v>Låginkomstfamilj</c:v>
                </c:pt>
                <c:pt idx="2">
                  <c:v>Medelgöteborgaren</c:v>
                </c:pt>
              </c:strCache>
            </c:strRef>
          </c:cat>
          <c:val>
            <c:numRef>
              <c:f>'DKI 2050'!$B$44:$D$44</c:f>
              <c:numCache>
                <c:formatCode>0.000</c:formatCode>
                <c:ptCount val="3"/>
                <c:pt idx="0">
                  <c:v>0.80013818928332536</c:v>
                </c:pt>
                <c:pt idx="1">
                  <c:v>0.53862377766088598</c:v>
                </c:pt>
                <c:pt idx="2">
                  <c:v>0.73894456303778289</c:v>
                </c:pt>
              </c:numCache>
            </c:numRef>
          </c:val>
        </c:ser>
        <c:ser>
          <c:idx val="7"/>
          <c:order val="7"/>
          <c:tx>
            <c:strRef>
              <c:f>'DKI 2050'!$A$45</c:f>
              <c:strCache>
                <c:ptCount val="1"/>
                <c:pt idx="0">
                  <c:v>Flyg</c:v>
                </c:pt>
              </c:strCache>
            </c:strRef>
          </c:tx>
          <c:invertIfNegative val="0"/>
          <c:cat>
            <c:strRef>
              <c:f>'DKI 2050'!$B$37:$D$37</c:f>
              <c:strCache>
                <c:ptCount val="3"/>
                <c:pt idx="0">
                  <c:v>Höginkomstfamilj</c:v>
                </c:pt>
                <c:pt idx="1">
                  <c:v>Låginkomstfamilj</c:v>
                </c:pt>
                <c:pt idx="2">
                  <c:v>Medelgöteborgaren</c:v>
                </c:pt>
              </c:strCache>
            </c:strRef>
          </c:cat>
          <c:val>
            <c:numRef>
              <c:f>'DKI 2050'!$B$45:$D$45</c:f>
              <c:numCache>
                <c:formatCode>0.000</c:formatCode>
                <c:ptCount val="3"/>
                <c:pt idx="0">
                  <c:v>5.1595768205374446</c:v>
                </c:pt>
                <c:pt idx="1">
                  <c:v>1.151691254584251</c:v>
                </c:pt>
                <c:pt idx="2">
                  <c:v>2.3033825091685021</c:v>
                </c:pt>
              </c:numCache>
            </c:numRef>
          </c:val>
        </c:ser>
        <c:dLbls>
          <c:showLegendKey val="0"/>
          <c:showVal val="0"/>
          <c:showCatName val="0"/>
          <c:showSerName val="0"/>
          <c:showPercent val="0"/>
          <c:showBubbleSize val="0"/>
        </c:dLbls>
        <c:gapWidth val="150"/>
        <c:overlap val="100"/>
        <c:axId val="119719040"/>
        <c:axId val="119720576"/>
      </c:barChart>
      <c:catAx>
        <c:axId val="119719040"/>
        <c:scaling>
          <c:orientation val="minMax"/>
        </c:scaling>
        <c:delete val="0"/>
        <c:axPos val="b"/>
        <c:majorTickMark val="out"/>
        <c:minorTickMark val="none"/>
        <c:tickLblPos val="nextTo"/>
        <c:crossAx val="119720576"/>
        <c:crosses val="autoZero"/>
        <c:auto val="1"/>
        <c:lblAlgn val="ctr"/>
        <c:lblOffset val="100"/>
        <c:noMultiLvlLbl val="0"/>
      </c:catAx>
      <c:valAx>
        <c:axId val="119720576"/>
        <c:scaling>
          <c:orientation val="minMax"/>
        </c:scaling>
        <c:delete val="0"/>
        <c:axPos val="l"/>
        <c:majorGridlines/>
        <c:title>
          <c:tx>
            <c:rich>
              <a:bodyPr rot="-5400000" vert="horz"/>
              <a:lstStyle/>
              <a:p>
                <a:pPr>
                  <a:defRPr/>
                </a:pPr>
                <a:r>
                  <a:rPr lang="sv-SE"/>
                  <a:t>ton CO2 ekv/person</a:t>
                </a:r>
              </a:p>
            </c:rich>
          </c:tx>
          <c:overlay val="0"/>
        </c:title>
        <c:numFmt formatCode="0" sourceLinked="0"/>
        <c:majorTickMark val="out"/>
        <c:minorTickMark val="none"/>
        <c:tickLblPos val="nextTo"/>
        <c:crossAx val="119719040"/>
        <c:crosses val="autoZero"/>
        <c:crossBetween val="between"/>
      </c:valAx>
    </c:plotArea>
    <c:legend>
      <c:legendPos val="r"/>
      <c:layout>
        <c:manualLayout>
          <c:xMode val="edge"/>
          <c:yMode val="edge"/>
          <c:x val="0.68412943130804871"/>
          <c:y val="5.1400590551181104E-2"/>
          <c:w val="0.28735495402622291"/>
          <c:h val="0.86973753280839894"/>
        </c:manualLayout>
      </c:layout>
      <c:overlay val="0"/>
    </c:legend>
    <c:plotVisOnly val="1"/>
    <c:dispBlanksAs val="gap"/>
    <c:showDLblsOverMax val="0"/>
  </c:chart>
  <c:spPr>
    <a:ln>
      <a:noFill/>
    </a:ln>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'KLIMAT 2050'!$A$38</c:f>
              <c:strCache>
                <c:ptCount val="1"/>
                <c:pt idx="0">
                  <c:v>Offentlig konsumtion</c:v>
                </c:pt>
              </c:strCache>
            </c:strRef>
          </c:tx>
          <c:invertIfNegative val="0"/>
          <c:cat>
            <c:strRef>
              <c:f>'KLIMAT 2050'!$B$37:$D$37</c:f>
              <c:strCache>
                <c:ptCount val="3"/>
                <c:pt idx="0">
                  <c:v>Höginkomstfamilj</c:v>
                </c:pt>
                <c:pt idx="1">
                  <c:v>Låginkomstfamilj</c:v>
                </c:pt>
                <c:pt idx="2">
                  <c:v>Medelgöteborgaren</c:v>
                </c:pt>
              </c:strCache>
            </c:strRef>
          </c:cat>
          <c:val>
            <c:numRef>
              <c:f>'KLIMAT 2050'!$B$38:$D$38</c:f>
              <c:numCache>
                <c:formatCode>0.00</c:formatCode>
                <c:ptCount val="3"/>
                <c:pt idx="0">
                  <c:v>0.25048074124484138</c:v>
                </c:pt>
                <c:pt idx="1">
                  <c:v>0.25048074124484138</c:v>
                </c:pt>
                <c:pt idx="2">
                  <c:v>0.25048074124484138</c:v>
                </c:pt>
              </c:numCache>
            </c:numRef>
          </c:val>
        </c:ser>
        <c:ser>
          <c:idx val="1"/>
          <c:order val="1"/>
          <c:tx>
            <c:strRef>
              <c:f>'KLIMAT 2050'!$A$39</c:f>
              <c:strCache>
                <c:ptCount val="1"/>
                <c:pt idx="0">
                  <c:v>Mat</c:v>
                </c:pt>
              </c:strCache>
            </c:strRef>
          </c:tx>
          <c:invertIfNegative val="0"/>
          <c:cat>
            <c:strRef>
              <c:f>'KLIMAT 2050'!$B$37:$D$37</c:f>
              <c:strCache>
                <c:ptCount val="3"/>
                <c:pt idx="0">
                  <c:v>Höginkomstfamilj</c:v>
                </c:pt>
                <c:pt idx="1">
                  <c:v>Låginkomstfamilj</c:v>
                </c:pt>
                <c:pt idx="2">
                  <c:v>Medelgöteborgaren</c:v>
                </c:pt>
              </c:strCache>
            </c:strRef>
          </c:cat>
          <c:val>
            <c:numRef>
              <c:f>'KLIMAT 2050'!$B$39:$D$39</c:f>
              <c:numCache>
                <c:formatCode>0.00</c:formatCode>
                <c:ptCount val="3"/>
                <c:pt idx="0">
                  <c:v>0.50700000000000001</c:v>
                </c:pt>
                <c:pt idx="1">
                  <c:v>0.50700000000000001</c:v>
                </c:pt>
                <c:pt idx="2">
                  <c:v>0.50700000000000001</c:v>
                </c:pt>
              </c:numCache>
            </c:numRef>
          </c:val>
        </c:ser>
        <c:ser>
          <c:idx val="2"/>
          <c:order val="2"/>
          <c:tx>
            <c:strRef>
              <c:f>'KLIMAT 2050'!$A$40</c:f>
              <c:strCache>
                <c:ptCount val="1"/>
                <c:pt idx="0">
                  <c:v>Uppvärmning</c:v>
                </c:pt>
              </c:strCache>
            </c:strRef>
          </c:tx>
          <c:invertIfNegative val="0"/>
          <c:cat>
            <c:strRef>
              <c:f>'KLIMAT 2050'!$B$37:$D$37</c:f>
              <c:strCache>
                <c:ptCount val="3"/>
                <c:pt idx="0">
                  <c:v>Höginkomstfamilj</c:v>
                </c:pt>
                <c:pt idx="1">
                  <c:v>Låginkomstfamilj</c:v>
                </c:pt>
                <c:pt idx="2">
                  <c:v>Medelgöteborgaren</c:v>
                </c:pt>
              </c:strCache>
            </c:strRef>
          </c:cat>
          <c:val>
            <c:numRef>
              <c:f>'KLIMAT 2050'!$B$40:$D$40</c:f>
              <c:numCache>
                <c:formatCode>0.00</c:formatCode>
                <c:ptCount val="3"/>
                <c:pt idx="0">
                  <c:v>2.457E-3</c:v>
                </c:pt>
                <c:pt idx="1">
                  <c:v>1.8113333333333332E-3</c:v>
                </c:pt>
                <c:pt idx="2">
                  <c:v>1.8576409789812438E-3</c:v>
                </c:pt>
              </c:numCache>
            </c:numRef>
          </c:val>
        </c:ser>
        <c:ser>
          <c:idx val="3"/>
          <c:order val="3"/>
          <c:tx>
            <c:strRef>
              <c:f>'KLIMAT 2050'!$A$41</c:f>
              <c:strCache>
                <c:ptCount val="1"/>
                <c:pt idx="0">
                  <c:v>Hushållsel</c:v>
                </c:pt>
              </c:strCache>
            </c:strRef>
          </c:tx>
          <c:invertIfNegative val="0"/>
          <c:cat>
            <c:strRef>
              <c:f>'KLIMAT 2050'!$B$37:$D$37</c:f>
              <c:strCache>
                <c:ptCount val="3"/>
                <c:pt idx="0">
                  <c:v>Höginkomstfamilj</c:v>
                </c:pt>
                <c:pt idx="1">
                  <c:v>Låginkomstfamilj</c:v>
                </c:pt>
                <c:pt idx="2">
                  <c:v>Medelgöteborgaren</c:v>
                </c:pt>
              </c:strCache>
            </c:strRef>
          </c:cat>
          <c:val>
            <c:numRef>
              <c:f>'KLIMAT 2050'!$B$41:$D$41</c:f>
              <c:numCache>
                <c:formatCode>0.00</c:formatCode>
                <c:ptCount val="3"/>
                <c:pt idx="0">
                  <c:v>2.986941478022399E-2</c:v>
                </c:pt>
                <c:pt idx="1">
                  <c:v>2.6747653592718079E-2</c:v>
                </c:pt>
                <c:pt idx="2">
                  <c:v>3.5550402444793509E-2</c:v>
                </c:pt>
              </c:numCache>
            </c:numRef>
          </c:val>
        </c:ser>
        <c:ser>
          <c:idx val="4"/>
          <c:order val="4"/>
          <c:tx>
            <c:strRef>
              <c:f>'KLIMAT 2050'!$A$42</c:f>
              <c:strCache>
                <c:ptCount val="1"/>
                <c:pt idx="0">
                  <c:v>Kollektivtrafik</c:v>
                </c:pt>
              </c:strCache>
            </c:strRef>
          </c:tx>
          <c:invertIfNegative val="0"/>
          <c:cat>
            <c:strRef>
              <c:f>'KLIMAT 2050'!$B$37:$D$37</c:f>
              <c:strCache>
                <c:ptCount val="3"/>
                <c:pt idx="0">
                  <c:v>Höginkomstfamilj</c:v>
                </c:pt>
                <c:pt idx="1">
                  <c:v>Låginkomstfamilj</c:v>
                </c:pt>
                <c:pt idx="2">
                  <c:v>Medelgöteborgaren</c:v>
                </c:pt>
              </c:strCache>
            </c:strRef>
          </c:cat>
          <c:val>
            <c:numRef>
              <c:f>'KLIMAT 2050'!$B$42:$D$42</c:f>
              <c:numCache>
                <c:formatCode>0.00</c:formatCode>
                <c:ptCount val="3"/>
                <c:pt idx="0">
                  <c:v>6.47124470531009E-3</c:v>
                </c:pt>
                <c:pt idx="1">
                  <c:v>9.873699864330893E-3</c:v>
                </c:pt>
                <c:pt idx="2">
                  <c:v>3.2243393821109259E-3</c:v>
                </c:pt>
              </c:numCache>
            </c:numRef>
          </c:val>
        </c:ser>
        <c:ser>
          <c:idx val="5"/>
          <c:order val="5"/>
          <c:tx>
            <c:strRef>
              <c:f>'KLIMAT 2050'!$A$43</c:f>
              <c:strCache>
                <c:ptCount val="1"/>
                <c:pt idx="0">
                  <c:v>Bil</c:v>
                </c:pt>
              </c:strCache>
            </c:strRef>
          </c:tx>
          <c:invertIfNegative val="0"/>
          <c:cat>
            <c:strRef>
              <c:f>'KLIMAT 2050'!$B$37:$D$37</c:f>
              <c:strCache>
                <c:ptCount val="3"/>
                <c:pt idx="0">
                  <c:v>Höginkomstfamilj</c:v>
                </c:pt>
                <c:pt idx="1">
                  <c:v>Låginkomstfamilj</c:v>
                </c:pt>
                <c:pt idx="2">
                  <c:v>Medelgöteborgaren</c:v>
                </c:pt>
              </c:strCache>
            </c:strRef>
          </c:cat>
          <c:val>
            <c:numRef>
              <c:f>'KLIMAT 2050'!$B$43:$D$43</c:f>
              <c:numCache>
                <c:formatCode>0.00</c:formatCode>
                <c:ptCount val="3"/>
                <c:pt idx="0">
                  <c:v>5.5176753261117283E-2</c:v>
                </c:pt>
                <c:pt idx="1">
                  <c:v>0</c:v>
                </c:pt>
                <c:pt idx="2">
                  <c:v>3.1430966338847108E-2</c:v>
                </c:pt>
              </c:numCache>
            </c:numRef>
          </c:val>
        </c:ser>
        <c:ser>
          <c:idx val="6"/>
          <c:order val="6"/>
          <c:tx>
            <c:strRef>
              <c:f>'KLIMAT 2050'!$A$44</c:f>
              <c:strCache>
                <c:ptCount val="1"/>
                <c:pt idx="0">
                  <c:v>Övrig konsumtion</c:v>
                </c:pt>
              </c:strCache>
            </c:strRef>
          </c:tx>
          <c:invertIfNegative val="0"/>
          <c:cat>
            <c:strRef>
              <c:f>'KLIMAT 2050'!$B$37:$D$37</c:f>
              <c:strCache>
                <c:ptCount val="3"/>
                <c:pt idx="0">
                  <c:v>Höginkomstfamilj</c:v>
                </c:pt>
                <c:pt idx="1">
                  <c:v>Låginkomstfamilj</c:v>
                </c:pt>
                <c:pt idx="2">
                  <c:v>Medelgöteborgaren</c:v>
                </c:pt>
              </c:strCache>
            </c:strRef>
          </c:cat>
          <c:val>
            <c:numRef>
              <c:f>'KLIMAT 2050'!$B$44:$D$44</c:f>
              <c:numCache>
                <c:formatCode>0.00</c:formatCode>
                <c:ptCount val="3"/>
                <c:pt idx="0">
                  <c:v>0.69004258099082583</c:v>
                </c:pt>
                <c:pt idx="1">
                  <c:v>0.40454935271149306</c:v>
                </c:pt>
                <c:pt idx="2">
                  <c:v>0.54735283601897367</c:v>
                </c:pt>
              </c:numCache>
            </c:numRef>
          </c:val>
        </c:ser>
        <c:ser>
          <c:idx val="7"/>
          <c:order val="7"/>
          <c:tx>
            <c:strRef>
              <c:f>'KLIMAT 2050'!$A$45</c:f>
              <c:strCache>
                <c:ptCount val="1"/>
                <c:pt idx="0">
                  <c:v>Flyg</c:v>
                </c:pt>
              </c:strCache>
            </c:strRef>
          </c:tx>
          <c:invertIfNegative val="0"/>
          <c:cat>
            <c:strRef>
              <c:f>'KLIMAT 2050'!$B$37:$D$37</c:f>
              <c:strCache>
                <c:ptCount val="3"/>
                <c:pt idx="0">
                  <c:v>Höginkomstfamilj</c:v>
                </c:pt>
                <c:pt idx="1">
                  <c:v>Låginkomstfamilj</c:v>
                </c:pt>
                <c:pt idx="2">
                  <c:v>Medelgöteborgaren</c:v>
                </c:pt>
              </c:strCache>
            </c:strRef>
          </c:cat>
          <c:val>
            <c:numRef>
              <c:f>'KLIMAT 2050'!$B$45:$D$45</c:f>
              <c:numCache>
                <c:formatCode>0.00</c:formatCode>
                <c:ptCount val="3"/>
                <c:pt idx="0">
                  <c:v>1.0528234591208245</c:v>
                </c:pt>
                <c:pt idx="1">
                  <c:v>0.23500523641089829</c:v>
                </c:pt>
                <c:pt idx="2">
                  <c:v>0.47001047282179659</c:v>
                </c:pt>
              </c:numCache>
            </c:numRef>
          </c:val>
        </c:ser>
        <c:dLbls>
          <c:showLegendKey val="0"/>
          <c:showVal val="0"/>
          <c:showCatName val="0"/>
          <c:showSerName val="0"/>
          <c:showPercent val="0"/>
          <c:showBubbleSize val="0"/>
        </c:dLbls>
        <c:gapWidth val="150"/>
        <c:overlap val="100"/>
        <c:axId val="61379712"/>
        <c:axId val="61381248"/>
      </c:barChart>
      <c:catAx>
        <c:axId val="61379712"/>
        <c:scaling>
          <c:orientation val="minMax"/>
        </c:scaling>
        <c:delete val="0"/>
        <c:axPos val="b"/>
        <c:majorTickMark val="out"/>
        <c:minorTickMark val="none"/>
        <c:tickLblPos val="nextTo"/>
        <c:crossAx val="61381248"/>
        <c:crosses val="autoZero"/>
        <c:auto val="1"/>
        <c:lblAlgn val="ctr"/>
        <c:lblOffset val="100"/>
        <c:noMultiLvlLbl val="0"/>
      </c:catAx>
      <c:valAx>
        <c:axId val="61381248"/>
        <c:scaling>
          <c:orientation val="minMax"/>
          <c:max val="10"/>
        </c:scaling>
        <c:delete val="0"/>
        <c:axPos val="l"/>
        <c:majorGridlines/>
        <c:title>
          <c:tx>
            <c:rich>
              <a:bodyPr rot="-5400000" vert="horz"/>
              <a:lstStyle/>
              <a:p>
                <a:pPr marL="0" marR="0" indent="0" algn="ctr" defTabSz="914400" rtl="0" eaLnBrk="1" fontAlgn="auto" latinLnBrk="0" hangingPunct="1">
                  <a:lnSpc>
                    <a:spcPct val="100000"/>
                  </a:lnSpc>
                  <a:spcBef>
                    <a:spcPts val="0"/>
                  </a:spcBef>
                  <a:spcAft>
                    <a:spcPts val="0"/>
                  </a:spcAft>
                  <a:buClrTx/>
                  <a:buSzTx/>
                  <a:buFontTx/>
                  <a:buNone/>
                  <a:tabLst/>
                  <a:defRPr sz="1000" b="1" i="0" u="none" strike="noStrike" kern="1200" baseline="0">
                    <a:solidFill>
                      <a:sysClr val="windowText" lastClr="000000"/>
                    </a:solidFill>
                    <a:latin typeface="+mn-lt"/>
                    <a:ea typeface="+mn-ea"/>
                    <a:cs typeface="+mn-cs"/>
                  </a:defRPr>
                </a:pPr>
                <a:r>
                  <a:rPr lang="sv-SE" sz="1100" b="1" i="0" baseline="0">
                    <a:effectLst/>
                  </a:rPr>
                  <a:t>ton CO2 ekv/person</a:t>
                </a:r>
                <a:endParaRPr lang="sv-SE" sz="1100">
                  <a:effectLst/>
                </a:endParaRPr>
              </a:p>
            </c:rich>
          </c:tx>
          <c:layout>
            <c:manualLayout>
              <c:xMode val="edge"/>
              <c:yMode val="edge"/>
              <c:x val="1.3888888888888888E-2"/>
              <c:y val="0.10876932050160397"/>
            </c:manualLayout>
          </c:layout>
          <c:overlay val="0"/>
        </c:title>
        <c:numFmt formatCode="0" sourceLinked="0"/>
        <c:majorTickMark val="out"/>
        <c:minorTickMark val="none"/>
        <c:tickLblPos val="nextTo"/>
        <c:crossAx val="61379712"/>
        <c:crosses val="autoZero"/>
        <c:crossBetween val="between"/>
      </c:valAx>
    </c:plotArea>
    <c:legend>
      <c:legendPos val="r"/>
      <c:layout>
        <c:manualLayout>
          <c:xMode val="edge"/>
          <c:yMode val="edge"/>
          <c:x val="0.69030386670518151"/>
          <c:y val="4.0131233595800536E-2"/>
          <c:w val="0.29169838513905622"/>
          <c:h val="0.84566345873432491"/>
        </c:manualLayout>
      </c:layout>
      <c:overlay val="0"/>
    </c:legend>
    <c:plotVisOnly val="1"/>
    <c:dispBlanksAs val="gap"/>
    <c:showDLblsOverMax val="0"/>
  </c:chart>
  <c:spPr>
    <a:ln>
      <a:noFill/>
    </a:ln>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589129483814524"/>
          <c:y val="5.1400554097404488E-2"/>
          <c:w val="0.59365493599014407"/>
          <c:h val="0.77611475648877226"/>
        </c:manualLayout>
      </c:layout>
      <c:barChart>
        <c:barDir val="col"/>
        <c:grouping val="stacked"/>
        <c:varyColors val="0"/>
        <c:ser>
          <c:idx val="0"/>
          <c:order val="0"/>
          <c:tx>
            <c:strRef>
              <c:f>'Jämf medelgöteborgareb'!$A$3</c:f>
              <c:strCache>
                <c:ptCount val="1"/>
                <c:pt idx="0">
                  <c:v>Offentlig konsumtion</c:v>
                </c:pt>
              </c:strCache>
            </c:strRef>
          </c:tx>
          <c:invertIfNegative val="0"/>
          <c:cat>
            <c:strRef>
              <c:f>'Jämf medelgöteborgareb'!$B$1:$E$2</c:f>
              <c:strCache>
                <c:ptCount val="4"/>
                <c:pt idx="0">
                  <c:v>2010</c:v>
                </c:pt>
                <c:pt idx="1">
                  <c:v>2050 BAU</c:v>
                </c:pt>
                <c:pt idx="2">
                  <c:v>2050 DKI</c:v>
                </c:pt>
                <c:pt idx="3">
                  <c:v>2050 KLIMAT</c:v>
                </c:pt>
              </c:strCache>
            </c:strRef>
          </c:cat>
          <c:val>
            <c:numRef>
              <c:f>'Jämf medelgöteborgareb'!$B$3:$E$3</c:f>
              <c:numCache>
                <c:formatCode>General</c:formatCode>
                <c:ptCount val="4"/>
                <c:pt idx="0">
                  <c:v>1.74</c:v>
                </c:pt>
                <c:pt idx="1">
                  <c:v>1.74</c:v>
                </c:pt>
                <c:pt idx="2">
                  <c:v>0.70511105879090996</c:v>
                </c:pt>
                <c:pt idx="3" formatCode="0.00">
                  <c:v>0.25048074124484138</c:v>
                </c:pt>
              </c:numCache>
            </c:numRef>
          </c:val>
        </c:ser>
        <c:ser>
          <c:idx val="1"/>
          <c:order val="1"/>
          <c:tx>
            <c:strRef>
              <c:f>'Jämf medelgöteborgareb'!$A$4</c:f>
              <c:strCache>
                <c:ptCount val="1"/>
                <c:pt idx="0">
                  <c:v>Mat</c:v>
                </c:pt>
              </c:strCache>
            </c:strRef>
          </c:tx>
          <c:invertIfNegative val="0"/>
          <c:cat>
            <c:strRef>
              <c:f>'Jämf medelgöteborgareb'!$B$1:$E$2</c:f>
              <c:strCache>
                <c:ptCount val="4"/>
                <c:pt idx="0">
                  <c:v>2010</c:v>
                </c:pt>
                <c:pt idx="1">
                  <c:v>2050 BAU</c:v>
                </c:pt>
                <c:pt idx="2">
                  <c:v>2050 DKI</c:v>
                </c:pt>
                <c:pt idx="3">
                  <c:v>2050 KLIMAT</c:v>
                </c:pt>
              </c:strCache>
            </c:strRef>
          </c:cat>
          <c:val>
            <c:numRef>
              <c:f>'Jämf medelgöteborgareb'!$B$4:$E$4</c:f>
              <c:numCache>
                <c:formatCode>General</c:formatCode>
                <c:ptCount val="4"/>
                <c:pt idx="0">
                  <c:v>1.494</c:v>
                </c:pt>
                <c:pt idx="1">
                  <c:v>1.901</c:v>
                </c:pt>
                <c:pt idx="2">
                  <c:v>1.331</c:v>
                </c:pt>
                <c:pt idx="3" formatCode="0.00">
                  <c:v>0.50700000000000001</c:v>
                </c:pt>
              </c:numCache>
            </c:numRef>
          </c:val>
        </c:ser>
        <c:ser>
          <c:idx val="2"/>
          <c:order val="2"/>
          <c:tx>
            <c:strRef>
              <c:f>'Jämf medelgöteborgareb'!$A$5</c:f>
              <c:strCache>
                <c:ptCount val="1"/>
                <c:pt idx="0">
                  <c:v>Uppvärmning</c:v>
                </c:pt>
              </c:strCache>
            </c:strRef>
          </c:tx>
          <c:invertIfNegative val="0"/>
          <c:cat>
            <c:strRef>
              <c:f>'Jämf medelgöteborgareb'!$B$1:$E$2</c:f>
              <c:strCache>
                <c:ptCount val="4"/>
                <c:pt idx="0">
                  <c:v>2010</c:v>
                </c:pt>
                <c:pt idx="1">
                  <c:v>2050 BAU</c:v>
                </c:pt>
                <c:pt idx="2">
                  <c:v>2050 DKI</c:v>
                </c:pt>
                <c:pt idx="3">
                  <c:v>2050 KLIMAT</c:v>
                </c:pt>
              </c:strCache>
            </c:strRef>
          </c:cat>
          <c:val>
            <c:numRef>
              <c:f>'Jämf medelgöteborgareb'!$B$5:$E$5</c:f>
              <c:numCache>
                <c:formatCode>General</c:formatCode>
                <c:ptCount val="4"/>
                <c:pt idx="0">
                  <c:v>0.34180594013254889</c:v>
                </c:pt>
                <c:pt idx="1">
                  <c:v>0.62004226759283776</c:v>
                </c:pt>
                <c:pt idx="2">
                  <c:v>0.17338549420757535</c:v>
                </c:pt>
                <c:pt idx="3" formatCode="0.00">
                  <c:v>1.8576409789812438E-3</c:v>
                </c:pt>
              </c:numCache>
            </c:numRef>
          </c:val>
        </c:ser>
        <c:ser>
          <c:idx val="3"/>
          <c:order val="3"/>
          <c:tx>
            <c:strRef>
              <c:f>'Jämf medelgöteborgareb'!$A$6</c:f>
              <c:strCache>
                <c:ptCount val="1"/>
                <c:pt idx="0">
                  <c:v>Hushållsel</c:v>
                </c:pt>
              </c:strCache>
            </c:strRef>
          </c:tx>
          <c:invertIfNegative val="0"/>
          <c:cat>
            <c:strRef>
              <c:f>'Jämf medelgöteborgareb'!$B$1:$E$2</c:f>
              <c:strCache>
                <c:ptCount val="4"/>
                <c:pt idx="0">
                  <c:v>2010</c:v>
                </c:pt>
                <c:pt idx="1">
                  <c:v>2050 BAU</c:v>
                </c:pt>
                <c:pt idx="2">
                  <c:v>2050 DKI</c:v>
                </c:pt>
                <c:pt idx="3">
                  <c:v>2050 KLIMAT</c:v>
                </c:pt>
              </c:strCache>
            </c:strRef>
          </c:cat>
          <c:val>
            <c:numRef>
              <c:f>'Jämf medelgöteborgareb'!$B$6:$E$6</c:f>
              <c:numCache>
                <c:formatCode>General</c:formatCode>
                <c:ptCount val="4"/>
                <c:pt idx="0">
                  <c:v>0.20710092157226895</c:v>
                </c:pt>
                <c:pt idx="1">
                  <c:v>0.25767484609965963</c:v>
                </c:pt>
                <c:pt idx="2">
                  <c:v>7.9958414749412038E-2</c:v>
                </c:pt>
                <c:pt idx="3" formatCode="0.00">
                  <c:v>3.5550402444793509E-2</c:v>
                </c:pt>
              </c:numCache>
            </c:numRef>
          </c:val>
        </c:ser>
        <c:ser>
          <c:idx val="4"/>
          <c:order val="4"/>
          <c:tx>
            <c:strRef>
              <c:f>'Jämf medelgöteborgareb'!$A$7</c:f>
              <c:strCache>
                <c:ptCount val="1"/>
                <c:pt idx="0">
                  <c:v>Kollektivtrafik</c:v>
                </c:pt>
              </c:strCache>
            </c:strRef>
          </c:tx>
          <c:invertIfNegative val="0"/>
          <c:cat>
            <c:strRef>
              <c:f>'Jämf medelgöteborgareb'!$B$1:$E$2</c:f>
              <c:strCache>
                <c:ptCount val="4"/>
                <c:pt idx="0">
                  <c:v>2010</c:v>
                </c:pt>
                <c:pt idx="1">
                  <c:v>2050 BAU</c:v>
                </c:pt>
                <c:pt idx="2">
                  <c:v>2050 DKI</c:v>
                </c:pt>
                <c:pt idx="3">
                  <c:v>2050 KLIMAT</c:v>
                </c:pt>
              </c:strCache>
            </c:strRef>
          </c:cat>
          <c:val>
            <c:numRef>
              <c:f>'Jämf medelgöteborgareb'!$B$7:$E$7</c:f>
              <c:numCache>
                <c:formatCode>General</c:formatCode>
                <c:ptCount val="4"/>
                <c:pt idx="0">
                  <c:v>3.2243393821109259E-2</c:v>
                </c:pt>
                <c:pt idx="1">
                  <c:v>2.7467193354758276E-2</c:v>
                </c:pt>
                <c:pt idx="2">
                  <c:v>6.4486787642218518E-3</c:v>
                </c:pt>
                <c:pt idx="3" formatCode="0.00">
                  <c:v>3.2243393821109259E-3</c:v>
                </c:pt>
              </c:numCache>
            </c:numRef>
          </c:val>
        </c:ser>
        <c:ser>
          <c:idx val="5"/>
          <c:order val="5"/>
          <c:tx>
            <c:strRef>
              <c:f>'Jämf medelgöteborgareb'!$A$8</c:f>
              <c:strCache>
                <c:ptCount val="1"/>
                <c:pt idx="0">
                  <c:v>Bil</c:v>
                </c:pt>
              </c:strCache>
            </c:strRef>
          </c:tx>
          <c:invertIfNegative val="0"/>
          <c:cat>
            <c:strRef>
              <c:f>'Jämf medelgöteborgareb'!$B$1:$E$2</c:f>
              <c:strCache>
                <c:ptCount val="4"/>
                <c:pt idx="0">
                  <c:v>2010</c:v>
                </c:pt>
                <c:pt idx="1">
                  <c:v>2050 BAU</c:v>
                </c:pt>
                <c:pt idx="2">
                  <c:v>2050 DKI</c:v>
                </c:pt>
                <c:pt idx="3">
                  <c:v>2050 KLIMAT</c:v>
                </c:pt>
              </c:strCache>
            </c:strRef>
          </c:cat>
          <c:val>
            <c:numRef>
              <c:f>'Jämf medelgöteborgareb'!$B$8:$E$8</c:f>
              <c:numCache>
                <c:formatCode>General</c:formatCode>
                <c:ptCount val="4"/>
                <c:pt idx="0">
                  <c:v>1.0195370156700798</c:v>
                </c:pt>
                <c:pt idx="1">
                  <c:v>1.0534381078332515</c:v>
                </c:pt>
                <c:pt idx="2">
                  <c:v>3.9288707923558881E-2</c:v>
                </c:pt>
                <c:pt idx="3" formatCode="0.00">
                  <c:v>3.1430966338847108E-2</c:v>
                </c:pt>
              </c:numCache>
            </c:numRef>
          </c:val>
        </c:ser>
        <c:ser>
          <c:idx val="6"/>
          <c:order val="6"/>
          <c:tx>
            <c:strRef>
              <c:f>'Jämf medelgöteborgareb'!$A$9</c:f>
              <c:strCache>
                <c:ptCount val="1"/>
                <c:pt idx="0">
                  <c:v>Övrig konsumtion</c:v>
                </c:pt>
              </c:strCache>
            </c:strRef>
          </c:tx>
          <c:invertIfNegative val="0"/>
          <c:cat>
            <c:strRef>
              <c:f>'Jämf medelgöteborgareb'!$B$1:$E$2</c:f>
              <c:strCache>
                <c:ptCount val="4"/>
                <c:pt idx="0">
                  <c:v>2010</c:v>
                </c:pt>
                <c:pt idx="1">
                  <c:v>2050 BAU</c:v>
                </c:pt>
                <c:pt idx="2">
                  <c:v>2050 DKI</c:v>
                </c:pt>
                <c:pt idx="3">
                  <c:v>2050 KLIMAT</c:v>
                </c:pt>
              </c:strCache>
            </c:strRef>
          </c:cat>
          <c:val>
            <c:numRef>
              <c:f>'Jämf medelgöteborgareb'!$B$9:$E$9</c:f>
              <c:numCache>
                <c:formatCode>General</c:formatCode>
                <c:ptCount val="4"/>
                <c:pt idx="0">
                  <c:v>1.4427434716591943</c:v>
                </c:pt>
                <c:pt idx="1">
                  <c:v>2.2189226724833286</c:v>
                </c:pt>
                <c:pt idx="2">
                  <c:v>0.73894456303778289</c:v>
                </c:pt>
                <c:pt idx="3" formatCode="0.00">
                  <c:v>0.54735283601897367</c:v>
                </c:pt>
              </c:numCache>
            </c:numRef>
          </c:val>
        </c:ser>
        <c:ser>
          <c:idx val="7"/>
          <c:order val="7"/>
          <c:tx>
            <c:strRef>
              <c:f>'Jämf medelgöteborgareb'!$A$10</c:f>
              <c:strCache>
                <c:ptCount val="1"/>
                <c:pt idx="0">
                  <c:v>Flyg</c:v>
                </c:pt>
              </c:strCache>
            </c:strRef>
          </c:tx>
          <c:invertIfNegative val="0"/>
          <c:cat>
            <c:strRef>
              <c:f>'Jämf medelgöteborgareb'!$B$1:$E$2</c:f>
              <c:strCache>
                <c:ptCount val="4"/>
                <c:pt idx="0">
                  <c:v>2010</c:v>
                </c:pt>
                <c:pt idx="1">
                  <c:v>2050 BAU</c:v>
                </c:pt>
                <c:pt idx="2">
                  <c:v>2050 DKI</c:v>
                </c:pt>
                <c:pt idx="3">
                  <c:v>2050 KLIMAT</c:v>
                </c:pt>
              </c:strCache>
            </c:strRef>
          </c:cat>
          <c:val>
            <c:numRef>
              <c:f>'Jämf medelgöteborgareb'!$B$10:$E$10</c:f>
              <c:numCache>
                <c:formatCode>General</c:formatCode>
                <c:ptCount val="4"/>
                <c:pt idx="0">
                  <c:v>1.0753957805645113</c:v>
                </c:pt>
                <c:pt idx="1">
                  <c:v>2.3033825091685021</c:v>
                </c:pt>
                <c:pt idx="2">
                  <c:v>2.3033825091685021</c:v>
                </c:pt>
                <c:pt idx="3" formatCode="0.00">
                  <c:v>0.47001047282179659</c:v>
                </c:pt>
              </c:numCache>
            </c:numRef>
          </c:val>
        </c:ser>
        <c:dLbls>
          <c:showLegendKey val="0"/>
          <c:showVal val="0"/>
          <c:showCatName val="0"/>
          <c:showSerName val="0"/>
          <c:showPercent val="0"/>
          <c:showBubbleSize val="0"/>
        </c:dLbls>
        <c:gapWidth val="150"/>
        <c:overlap val="100"/>
        <c:axId val="61531264"/>
        <c:axId val="61532800"/>
      </c:barChart>
      <c:catAx>
        <c:axId val="61531264"/>
        <c:scaling>
          <c:orientation val="minMax"/>
        </c:scaling>
        <c:delete val="0"/>
        <c:axPos val="b"/>
        <c:majorTickMark val="out"/>
        <c:minorTickMark val="none"/>
        <c:tickLblPos val="nextTo"/>
        <c:crossAx val="61532800"/>
        <c:crosses val="autoZero"/>
        <c:auto val="1"/>
        <c:lblAlgn val="ctr"/>
        <c:lblOffset val="100"/>
        <c:noMultiLvlLbl val="0"/>
      </c:catAx>
      <c:valAx>
        <c:axId val="61532800"/>
        <c:scaling>
          <c:orientation val="minMax"/>
        </c:scaling>
        <c:delete val="0"/>
        <c:axPos val="l"/>
        <c:majorGridlines/>
        <c:title>
          <c:tx>
            <c:rich>
              <a:bodyPr rot="-5400000" vert="horz"/>
              <a:lstStyle/>
              <a:p>
                <a:pPr marL="0" marR="0" indent="0" algn="ctr" defTabSz="914400" rtl="0" eaLnBrk="1" fontAlgn="auto" latinLnBrk="0" hangingPunct="1">
                  <a:lnSpc>
                    <a:spcPct val="100000"/>
                  </a:lnSpc>
                  <a:spcBef>
                    <a:spcPts val="0"/>
                  </a:spcBef>
                  <a:spcAft>
                    <a:spcPts val="0"/>
                  </a:spcAft>
                  <a:buClrTx/>
                  <a:buSzTx/>
                  <a:buFontTx/>
                  <a:buNone/>
                  <a:tabLst/>
                  <a:defRPr sz="1000" b="1" i="0" u="none" strike="noStrike" kern="1200" baseline="0">
                    <a:solidFill>
                      <a:sysClr val="windowText" lastClr="000000"/>
                    </a:solidFill>
                    <a:latin typeface="+mn-lt"/>
                    <a:ea typeface="+mn-ea"/>
                    <a:cs typeface="+mn-cs"/>
                  </a:defRPr>
                </a:pPr>
                <a:r>
                  <a:rPr lang="sv-SE" sz="1000" b="1" i="0" baseline="0">
                    <a:effectLst/>
                  </a:rPr>
                  <a:t>ton CO2 ekv/person</a:t>
                </a:r>
                <a:endParaRPr lang="sv-SE" sz="1000">
                  <a:effectLst/>
                </a:endParaRPr>
              </a:p>
            </c:rich>
          </c:tx>
          <c:layout>
            <c:manualLayout>
              <c:xMode val="edge"/>
              <c:yMode val="edge"/>
              <c:x val="0"/>
              <c:y val="0.23251348789734616"/>
            </c:manualLayout>
          </c:layout>
          <c:overlay val="0"/>
        </c:title>
        <c:numFmt formatCode="General" sourceLinked="1"/>
        <c:majorTickMark val="out"/>
        <c:minorTickMark val="none"/>
        <c:tickLblPos val="nextTo"/>
        <c:crossAx val="61531264"/>
        <c:crosses val="autoZero"/>
        <c:crossBetween val="between"/>
        <c:majorUnit val="1"/>
      </c:valAx>
    </c:plotArea>
    <c:legend>
      <c:legendPos val="r"/>
      <c:layout>
        <c:manualLayout>
          <c:xMode val="edge"/>
          <c:yMode val="edge"/>
          <c:x val="0.71320842037602439"/>
          <c:y val="0.15587197433654129"/>
          <c:w val="0.28679155730533684"/>
          <c:h val="0.66973753280839898"/>
        </c:manualLayout>
      </c:layout>
      <c:overlay val="0"/>
    </c:legend>
    <c:plotVisOnly val="1"/>
    <c:dispBlanksAs val="gap"/>
    <c:showDLblsOverMax val="0"/>
  </c:chart>
  <c:spPr>
    <a:ln>
      <a:noFill/>
    </a:ln>
  </c:sp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strRef>
              <c:f>'Biltrafik BAU'!$A$2</c:f>
              <c:strCache>
                <c:ptCount val="1"/>
                <c:pt idx="0">
                  <c:v>Kommungränssnittet</c:v>
                </c:pt>
              </c:strCache>
            </c:strRef>
          </c:tx>
          <c:marker>
            <c:symbol val="none"/>
          </c:marker>
          <c:cat>
            <c:numRef>
              <c:f>'Biltrafik BAU'!$B$1:$AR$1</c:f>
              <c:numCache>
                <c:formatCode>General</c:formatCode>
                <c:ptCount val="43"/>
                <c:pt idx="0">
                  <c:v>1970</c:v>
                </c:pt>
                <c:pt idx="1">
                  <c:v>1971</c:v>
                </c:pt>
                <c:pt idx="2">
                  <c:v>1972</c:v>
                </c:pt>
                <c:pt idx="3">
                  <c:v>1973</c:v>
                </c:pt>
                <c:pt idx="4">
                  <c:v>1974</c:v>
                </c:pt>
                <c:pt idx="5">
                  <c:v>1975</c:v>
                </c:pt>
                <c:pt idx="6">
                  <c:v>1976</c:v>
                </c:pt>
                <c:pt idx="7">
                  <c:v>1977</c:v>
                </c:pt>
                <c:pt idx="8">
                  <c:v>1978</c:v>
                </c:pt>
                <c:pt idx="9">
                  <c:v>1979</c:v>
                </c:pt>
                <c:pt idx="10">
                  <c:v>1980</c:v>
                </c:pt>
                <c:pt idx="11">
                  <c:v>1981</c:v>
                </c:pt>
                <c:pt idx="12">
                  <c:v>1982</c:v>
                </c:pt>
                <c:pt idx="13">
                  <c:v>1983</c:v>
                </c:pt>
                <c:pt idx="14">
                  <c:v>1984</c:v>
                </c:pt>
                <c:pt idx="15">
                  <c:v>1985</c:v>
                </c:pt>
                <c:pt idx="16">
                  <c:v>1986</c:v>
                </c:pt>
                <c:pt idx="17">
                  <c:v>1987</c:v>
                </c:pt>
                <c:pt idx="18">
                  <c:v>1988</c:v>
                </c:pt>
                <c:pt idx="19">
                  <c:v>1989</c:v>
                </c:pt>
                <c:pt idx="20">
                  <c:v>1990</c:v>
                </c:pt>
                <c:pt idx="21">
                  <c:v>1991</c:v>
                </c:pt>
                <c:pt idx="22">
                  <c:v>1992</c:v>
                </c:pt>
                <c:pt idx="23">
                  <c:v>1993</c:v>
                </c:pt>
                <c:pt idx="24">
                  <c:v>1994</c:v>
                </c:pt>
                <c:pt idx="25">
                  <c:v>1995</c:v>
                </c:pt>
                <c:pt idx="26">
                  <c:v>1996</c:v>
                </c:pt>
                <c:pt idx="27">
                  <c:v>1997</c:v>
                </c:pt>
                <c:pt idx="28">
                  <c:v>1998</c:v>
                </c:pt>
                <c:pt idx="29">
                  <c:v>1999</c:v>
                </c:pt>
                <c:pt idx="30">
                  <c:v>2000</c:v>
                </c:pt>
                <c:pt idx="31">
                  <c:v>2001</c:v>
                </c:pt>
                <c:pt idx="32">
                  <c:v>2002</c:v>
                </c:pt>
                <c:pt idx="33">
                  <c:v>2003</c:v>
                </c:pt>
                <c:pt idx="34">
                  <c:v>2004</c:v>
                </c:pt>
                <c:pt idx="35">
                  <c:v>2005</c:v>
                </c:pt>
                <c:pt idx="36">
                  <c:v>2006</c:v>
                </c:pt>
                <c:pt idx="37">
                  <c:v>2007</c:v>
                </c:pt>
                <c:pt idx="38">
                  <c:v>2008</c:v>
                </c:pt>
                <c:pt idx="39">
                  <c:v>2009</c:v>
                </c:pt>
                <c:pt idx="40">
                  <c:v>2010</c:v>
                </c:pt>
                <c:pt idx="41">
                  <c:v>2011</c:v>
                </c:pt>
                <c:pt idx="42">
                  <c:v>2012</c:v>
                </c:pt>
              </c:numCache>
            </c:numRef>
          </c:cat>
          <c:val>
            <c:numRef>
              <c:f>'Biltrafik BAU'!$B$2:$AR$2</c:f>
              <c:numCache>
                <c:formatCode>General</c:formatCode>
                <c:ptCount val="43"/>
                <c:pt idx="0">
                  <c:v>100</c:v>
                </c:pt>
                <c:pt idx="1">
                  <c:v>101.4</c:v>
                </c:pt>
                <c:pt idx="2">
                  <c:v>108.7</c:v>
                </c:pt>
                <c:pt idx="3">
                  <c:v>116.5</c:v>
                </c:pt>
                <c:pt idx="4">
                  <c:v>113.6</c:v>
                </c:pt>
                <c:pt idx="5">
                  <c:v>125.2</c:v>
                </c:pt>
                <c:pt idx="6">
                  <c:v>131.4</c:v>
                </c:pt>
                <c:pt idx="7">
                  <c:v>135.80000000000001</c:v>
                </c:pt>
                <c:pt idx="8">
                  <c:v>135.30000000000001</c:v>
                </c:pt>
                <c:pt idx="9">
                  <c:v>134.30000000000001</c:v>
                </c:pt>
                <c:pt idx="10">
                  <c:v>138.30000000000001</c:v>
                </c:pt>
                <c:pt idx="11">
                  <c:v>140</c:v>
                </c:pt>
                <c:pt idx="12">
                  <c:v>145.1</c:v>
                </c:pt>
                <c:pt idx="13">
                  <c:v>152.80000000000001</c:v>
                </c:pt>
                <c:pt idx="14">
                  <c:v>158.6</c:v>
                </c:pt>
                <c:pt idx="15">
                  <c:v>165.1</c:v>
                </c:pt>
                <c:pt idx="16">
                  <c:v>174.9</c:v>
                </c:pt>
                <c:pt idx="17">
                  <c:v>184.1</c:v>
                </c:pt>
                <c:pt idx="18">
                  <c:v>193</c:v>
                </c:pt>
                <c:pt idx="19">
                  <c:v>201.6</c:v>
                </c:pt>
                <c:pt idx="20">
                  <c:v>198.3</c:v>
                </c:pt>
                <c:pt idx="21">
                  <c:v>198.7</c:v>
                </c:pt>
                <c:pt idx="22">
                  <c:v>198.2</c:v>
                </c:pt>
                <c:pt idx="23">
                  <c:v>196.8</c:v>
                </c:pt>
                <c:pt idx="24">
                  <c:v>199.3</c:v>
                </c:pt>
                <c:pt idx="25">
                  <c:v>202.8</c:v>
                </c:pt>
                <c:pt idx="26">
                  <c:v>206.2</c:v>
                </c:pt>
                <c:pt idx="27">
                  <c:v>210</c:v>
                </c:pt>
                <c:pt idx="28">
                  <c:v>212.2</c:v>
                </c:pt>
                <c:pt idx="29">
                  <c:v>218.9</c:v>
                </c:pt>
                <c:pt idx="30">
                  <c:v>226.6</c:v>
                </c:pt>
                <c:pt idx="31">
                  <c:v>231</c:v>
                </c:pt>
                <c:pt idx="32">
                  <c:v>241.3</c:v>
                </c:pt>
                <c:pt idx="33">
                  <c:v>247.9</c:v>
                </c:pt>
                <c:pt idx="34">
                  <c:v>253.7</c:v>
                </c:pt>
                <c:pt idx="35">
                  <c:v>259.3</c:v>
                </c:pt>
                <c:pt idx="36">
                  <c:v>261.8</c:v>
                </c:pt>
                <c:pt idx="37">
                  <c:v>267.89999999999998</c:v>
                </c:pt>
                <c:pt idx="38">
                  <c:v>264.60000000000002</c:v>
                </c:pt>
                <c:pt idx="39">
                  <c:v>261.2</c:v>
                </c:pt>
                <c:pt idx="40">
                  <c:v>267.60000000000002</c:v>
                </c:pt>
                <c:pt idx="41">
                  <c:v>269.5</c:v>
                </c:pt>
                <c:pt idx="42">
                  <c:v>270.89999999999998</c:v>
                </c:pt>
              </c:numCache>
            </c:numRef>
          </c:val>
          <c:smooth val="0"/>
        </c:ser>
        <c:ser>
          <c:idx val="1"/>
          <c:order val="1"/>
          <c:tx>
            <c:strRef>
              <c:f>'Biltrafik BAU'!$A$3</c:f>
              <c:strCache>
                <c:ptCount val="1"/>
                <c:pt idx="0">
                  <c:v>28 Fasta punkter</c:v>
                </c:pt>
              </c:strCache>
            </c:strRef>
          </c:tx>
          <c:marker>
            <c:symbol val="none"/>
          </c:marker>
          <c:cat>
            <c:numRef>
              <c:f>'Biltrafik BAU'!$B$1:$AR$1</c:f>
              <c:numCache>
                <c:formatCode>General</c:formatCode>
                <c:ptCount val="43"/>
                <c:pt idx="0">
                  <c:v>1970</c:v>
                </c:pt>
                <c:pt idx="1">
                  <c:v>1971</c:v>
                </c:pt>
                <c:pt idx="2">
                  <c:v>1972</c:v>
                </c:pt>
                <c:pt idx="3">
                  <c:v>1973</c:v>
                </c:pt>
                <c:pt idx="4">
                  <c:v>1974</c:v>
                </c:pt>
                <c:pt idx="5">
                  <c:v>1975</c:v>
                </c:pt>
                <c:pt idx="6">
                  <c:v>1976</c:v>
                </c:pt>
                <c:pt idx="7">
                  <c:v>1977</c:v>
                </c:pt>
                <c:pt idx="8">
                  <c:v>1978</c:v>
                </c:pt>
                <c:pt idx="9">
                  <c:v>1979</c:v>
                </c:pt>
                <c:pt idx="10">
                  <c:v>1980</c:v>
                </c:pt>
                <c:pt idx="11">
                  <c:v>1981</c:v>
                </c:pt>
                <c:pt idx="12">
                  <c:v>1982</c:v>
                </c:pt>
                <c:pt idx="13">
                  <c:v>1983</c:v>
                </c:pt>
                <c:pt idx="14">
                  <c:v>1984</c:v>
                </c:pt>
                <c:pt idx="15">
                  <c:v>1985</c:v>
                </c:pt>
                <c:pt idx="16">
                  <c:v>1986</c:v>
                </c:pt>
                <c:pt idx="17">
                  <c:v>1987</c:v>
                </c:pt>
                <c:pt idx="18">
                  <c:v>1988</c:v>
                </c:pt>
                <c:pt idx="19">
                  <c:v>1989</c:v>
                </c:pt>
                <c:pt idx="20">
                  <c:v>1990</c:v>
                </c:pt>
                <c:pt idx="21">
                  <c:v>1991</c:v>
                </c:pt>
                <c:pt idx="22">
                  <c:v>1992</c:v>
                </c:pt>
                <c:pt idx="23">
                  <c:v>1993</c:v>
                </c:pt>
                <c:pt idx="24">
                  <c:v>1994</c:v>
                </c:pt>
                <c:pt idx="25">
                  <c:v>1995</c:v>
                </c:pt>
                <c:pt idx="26">
                  <c:v>1996</c:v>
                </c:pt>
                <c:pt idx="27">
                  <c:v>1997</c:v>
                </c:pt>
                <c:pt idx="28">
                  <c:v>1998</c:v>
                </c:pt>
                <c:pt idx="29">
                  <c:v>1999</c:v>
                </c:pt>
                <c:pt idx="30">
                  <c:v>2000</c:v>
                </c:pt>
                <c:pt idx="31">
                  <c:v>2001</c:v>
                </c:pt>
                <c:pt idx="32">
                  <c:v>2002</c:v>
                </c:pt>
                <c:pt idx="33">
                  <c:v>2003</c:v>
                </c:pt>
                <c:pt idx="34">
                  <c:v>2004</c:v>
                </c:pt>
                <c:pt idx="35">
                  <c:v>2005</c:v>
                </c:pt>
                <c:pt idx="36">
                  <c:v>2006</c:v>
                </c:pt>
                <c:pt idx="37">
                  <c:v>2007</c:v>
                </c:pt>
                <c:pt idx="38">
                  <c:v>2008</c:v>
                </c:pt>
                <c:pt idx="39">
                  <c:v>2009</c:v>
                </c:pt>
                <c:pt idx="40">
                  <c:v>2010</c:v>
                </c:pt>
                <c:pt idx="41">
                  <c:v>2011</c:v>
                </c:pt>
                <c:pt idx="42">
                  <c:v>2012</c:v>
                </c:pt>
              </c:numCache>
            </c:numRef>
          </c:cat>
          <c:val>
            <c:numRef>
              <c:f>'Biltrafik BAU'!$B$3:$AR$3</c:f>
              <c:numCache>
                <c:formatCode>General</c:formatCode>
                <c:ptCount val="43"/>
                <c:pt idx="0">
                  <c:v>100</c:v>
                </c:pt>
                <c:pt idx="1">
                  <c:v>107.4</c:v>
                </c:pt>
                <c:pt idx="2">
                  <c:v>111.3</c:v>
                </c:pt>
                <c:pt idx="3">
                  <c:v>114.7</c:v>
                </c:pt>
                <c:pt idx="4">
                  <c:v>111.5</c:v>
                </c:pt>
                <c:pt idx="5">
                  <c:v>120.1</c:v>
                </c:pt>
                <c:pt idx="6">
                  <c:v>125.6</c:v>
                </c:pt>
                <c:pt idx="7">
                  <c:v>128.1</c:v>
                </c:pt>
                <c:pt idx="8">
                  <c:v>127.6</c:v>
                </c:pt>
                <c:pt idx="9">
                  <c:v>127.8</c:v>
                </c:pt>
                <c:pt idx="10">
                  <c:v>127.6</c:v>
                </c:pt>
                <c:pt idx="11">
                  <c:v>126.7</c:v>
                </c:pt>
                <c:pt idx="12">
                  <c:v>128.6</c:v>
                </c:pt>
                <c:pt idx="13">
                  <c:v>130.69999999999999</c:v>
                </c:pt>
                <c:pt idx="14">
                  <c:v>133.6</c:v>
                </c:pt>
                <c:pt idx="15">
                  <c:v>136.80000000000001</c:v>
                </c:pt>
                <c:pt idx="16">
                  <c:v>142.30000000000001</c:v>
                </c:pt>
                <c:pt idx="17">
                  <c:v>148.5</c:v>
                </c:pt>
                <c:pt idx="18">
                  <c:v>152.6</c:v>
                </c:pt>
                <c:pt idx="19">
                  <c:v>159.9</c:v>
                </c:pt>
                <c:pt idx="20">
                  <c:v>155.4</c:v>
                </c:pt>
                <c:pt idx="21">
                  <c:v>153.80000000000001</c:v>
                </c:pt>
                <c:pt idx="22">
                  <c:v>152.80000000000001</c:v>
                </c:pt>
                <c:pt idx="23">
                  <c:v>150.30000000000001</c:v>
                </c:pt>
                <c:pt idx="24">
                  <c:v>151.9</c:v>
                </c:pt>
                <c:pt idx="25">
                  <c:v>154.1</c:v>
                </c:pt>
                <c:pt idx="26">
                  <c:v>154.19999999999999</c:v>
                </c:pt>
                <c:pt idx="27">
                  <c:v>155.80000000000001</c:v>
                </c:pt>
                <c:pt idx="28">
                  <c:v>159.5</c:v>
                </c:pt>
                <c:pt idx="29">
                  <c:v>163</c:v>
                </c:pt>
                <c:pt idx="30">
                  <c:v>166.2</c:v>
                </c:pt>
                <c:pt idx="31">
                  <c:v>168.5</c:v>
                </c:pt>
                <c:pt idx="32">
                  <c:v>174.2</c:v>
                </c:pt>
                <c:pt idx="33">
                  <c:v>178.2</c:v>
                </c:pt>
                <c:pt idx="34">
                  <c:v>181.2</c:v>
                </c:pt>
                <c:pt idx="35">
                  <c:v>184</c:v>
                </c:pt>
                <c:pt idx="36">
                  <c:v>184.9</c:v>
                </c:pt>
                <c:pt idx="37">
                  <c:v>187.2</c:v>
                </c:pt>
                <c:pt idx="38">
                  <c:v>183.6</c:v>
                </c:pt>
                <c:pt idx="39">
                  <c:v>180.7</c:v>
                </c:pt>
                <c:pt idx="40">
                  <c:v>183</c:v>
                </c:pt>
                <c:pt idx="41">
                  <c:v>183.6</c:v>
                </c:pt>
                <c:pt idx="42">
                  <c:v>183</c:v>
                </c:pt>
              </c:numCache>
            </c:numRef>
          </c:val>
          <c:smooth val="0"/>
        </c:ser>
        <c:ser>
          <c:idx val="2"/>
          <c:order val="2"/>
          <c:tx>
            <c:strRef>
              <c:f>'Biltrafik BAU'!$A$4</c:f>
              <c:strCache>
                <c:ptCount val="1"/>
                <c:pt idx="0">
                  <c:v>Götaälvsnittet</c:v>
                </c:pt>
              </c:strCache>
            </c:strRef>
          </c:tx>
          <c:marker>
            <c:symbol val="none"/>
          </c:marker>
          <c:cat>
            <c:numRef>
              <c:f>'Biltrafik BAU'!$B$1:$AR$1</c:f>
              <c:numCache>
                <c:formatCode>General</c:formatCode>
                <c:ptCount val="43"/>
                <c:pt idx="0">
                  <c:v>1970</c:v>
                </c:pt>
                <c:pt idx="1">
                  <c:v>1971</c:v>
                </c:pt>
                <c:pt idx="2">
                  <c:v>1972</c:v>
                </c:pt>
                <c:pt idx="3">
                  <c:v>1973</c:v>
                </c:pt>
                <c:pt idx="4">
                  <c:v>1974</c:v>
                </c:pt>
                <c:pt idx="5">
                  <c:v>1975</c:v>
                </c:pt>
                <c:pt idx="6">
                  <c:v>1976</c:v>
                </c:pt>
                <c:pt idx="7">
                  <c:v>1977</c:v>
                </c:pt>
                <c:pt idx="8">
                  <c:v>1978</c:v>
                </c:pt>
                <c:pt idx="9">
                  <c:v>1979</c:v>
                </c:pt>
                <c:pt idx="10">
                  <c:v>1980</c:v>
                </c:pt>
                <c:pt idx="11">
                  <c:v>1981</c:v>
                </c:pt>
                <c:pt idx="12">
                  <c:v>1982</c:v>
                </c:pt>
                <c:pt idx="13">
                  <c:v>1983</c:v>
                </c:pt>
                <c:pt idx="14">
                  <c:v>1984</c:v>
                </c:pt>
                <c:pt idx="15">
                  <c:v>1985</c:v>
                </c:pt>
                <c:pt idx="16">
                  <c:v>1986</c:v>
                </c:pt>
                <c:pt idx="17">
                  <c:v>1987</c:v>
                </c:pt>
                <c:pt idx="18">
                  <c:v>1988</c:v>
                </c:pt>
                <c:pt idx="19">
                  <c:v>1989</c:v>
                </c:pt>
                <c:pt idx="20">
                  <c:v>1990</c:v>
                </c:pt>
                <c:pt idx="21">
                  <c:v>1991</c:v>
                </c:pt>
                <c:pt idx="22">
                  <c:v>1992</c:v>
                </c:pt>
                <c:pt idx="23">
                  <c:v>1993</c:v>
                </c:pt>
                <c:pt idx="24">
                  <c:v>1994</c:v>
                </c:pt>
                <c:pt idx="25">
                  <c:v>1995</c:v>
                </c:pt>
                <c:pt idx="26">
                  <c:v>1996</c:v>
                </c:pt>
                <c:pt idx="27">
                  <c:v>1997</c:v>
                </c:pt>
                <c:pt idx="28">
                  <c:v>1998</c:v>
                </c:pt>
                <c:pt idx="29">
                  <c:v>1999</c:v>
                </c:pt>
                <c:pt idx="30">
                  <c:v>2000</c:v>
                </c:pt>
                <c:pt idx="31">
                  <c:v>2001</c:v>
                </c:pt>
                <c:pt idx="32">
                  <c:v>2002</c:v>
                </c:pt>
                <c:pt idx="33">
                  <c:v>2003</c:v>
                </c:pt>
                <c:pt idx="34">
                  <c:v>2004</c:v>
                </c:pt>
                <c:pt idx="35">
                  <c:v>2005</c:v>
                </c:pt>
                <c:pt idx="36">
                  <c:v>2006</c:v>
                </c:pt>
                <c:pt idx="37">
                  <c:v>2007</c:v>
                </c:pt>
                <c:pt idx="38">
                  <c:v>2008</c:v>
                </c:pt>
                <c:pt idx="39">
                  <c:v>2009</c:v>
                </c:pt>
                <c:pt idx="40">
                  <c:v>2010</c:v>
                </c:pt>
                <c:pt idx="41">
                  <c:v>2011</c:v>
                </c:pt>
                <c:pt idx="42">
                  <c:v>2012</c:v>
                </c:pt>
              </c:numCache>
            </c:numRef>
          </c:cat>
          <c:val>
            <c:numRef>
              <c:f>'Biltrafik BAU'!$B$4:$AR$4</c:f>
              <c:numCache>
                <c:formatCode>General</c:formatCode>
                <c:ptCount val="43"/>
                <c:pt idx="0">
                  <c:v>100</c:v>
                </c:pt>
                <c:pt idx="1">
                  <c:v>109.3</c:v>
                </c:pt>
                <c:pt idx="2">
                  <c:v>113.3</c:v>
                </c:pt>
                <c:pt idx="3">
                  <c:v>116.1</c:v>
                </c:pt>
                <c:pt idx="4">
                  <c:v>110.8</c:v>
                </c:pt>
                <c:pt idx="5">
                  <c:v>117.2</c:v>
                </c:pt>
                <c:pt idx="6">
                  <c:v>123.1</c:v>
                </c:pt>
                <c:pt idx="7">
                  <c:v>124.1</c:v>
                </c:pt>
                <c:pt idx="8">
                  <c:v>123.7</c:v>
                </c:pt>
                <c:pt idx="9">
                  <c:v>127.5</c:v>
                </c:pt>
                <c:pt idx="10">
                  <c:v>128.6</c:v>
                </c:pt>
                <c:pt idx="11">
                  <c:v>126.7</c:v>
                </c:pt>
                <c:pt idx="12">
                  <c:v>125.1</c:v>
                </c:pt>
                <c:pt idx="13">
                  <c:v>128.6</c:v>
                </c:pt>
                <c:pt idx="14">
                  <c:v>130.4</c:v>
                </c:pt>
                <c:pt idx="15">
                  <c:v>134.4</c:v>
                </c:pt>
                <c:pt idx="16">
                  <c:v>139.80000000000001</c:v>
                </c:pt>
                <c:pt idx="17">
                  <c:v>144.6</c:v>
                </c:pt>
                <c:pt idx="18">
                  <c:v>147.5</c:v>
                </c:pt>
                <c:pt idx="19">
                  <c:v>155.6</c:v>
                </c:pt>
                <c:pt idx="20">
                  <c:v>151.30000000000001</c:v>
                </c:pt>
                <c:pt idx="21">
                  <c:v>149.5</c:v>
                </c:pt>
                <c:pt idx="22">
                  <c:v>148.30000000000001</c:v>
                </c:pt>
                <c:pt idx="23">
                  <c:v>145.1</c:v>
                </c:pt>
                <c:pt idx="24">
                  <c:v>142.30000000000001</c:v>
                </c:pt>
                <c:pt idx="25">
                  <c:v>144.5</c:v>
                </c:pt>
                <c:pt idx="26">
                  <c:v>144</c:v>
                </c:pt>
                <c:pt idx="27">
                  <c:v>146.69999999999999</c:v>
                </c:pt>
                <c:pt idx="28">
                  <c:v>151.4</c:v>
                </c:pt>
                <c:pt idx="29">
                  <c:v>152.69999999999999</c:v>
                </c:pt>
                <c:pt idx="30">
                  <c:v>154.69999999999999</c:v>
                </c:pt>
                <c:pt idx="31">
                  <c:v>157.69999999999999</c:v>
                </c:pt>
                <c:pt idx="32">
                  <c:v>162.9</c:v>
                </c:pt>
                <c:pt idx="33">
                  <c:v>167.9</c:v>
                </c:pt>
                <c:pt idx="34">
                  <c:v>171.4</c:v>
                </c:pt>
                <c:pt idx="35">
                  <c:v>173.3</c:v>
                </c:pt>
                <c:pt idx="36">
                  <c:v>174.4</c:v>
                </c:pt>
                <c:pt idx="37">
                  <c:v>175.5</c:v>
                </c:pt>
                <c:pt idx="38">
                  <c:v>172.6</c:v>
                </c:pt>
                <c:pt idx="39">
                  <c:v>169.1</c:v>
                </c:pt>
                <c:pt idx="40">
                  <c:v>173.8</c:v>
                </c:pt>
                <c:pt idx="41">
                  <c:v>174.4</c:v>
                </c:pt>
                <c:pt idx="42">
                  <c:v>173.4</c:v>
                </c:pt>
              </c:numCache>
            </c:numRef>
          </c:val>
          <c:smooth val="0"/>
        </c:ser>
        <c:dLbls>
          <c:showLegendKey val="0"/>
          <c:showVal val="0"/>
          <c:showCatName val="0"/>
          <c:showSerName val="0"/>
          <c:showPercent val="0"/>
          <c:showBubbleSize val="0"/>
        </c:dLbls>
        <c:marker val="1"/>
        <c:smooth val="0"/>
        <c:axId val="61267328"/>
        <c:axId val="80807040"/>
      </c:lineChart>
      <c:catAx>
        <c:axId val="61267328"/>
        <c:scaling>
          <c:orientation val="minMax"/>
        </c:scaling>
        <c:delete val="0"/>
        <c:axPos val="b"/>
        <c:numFmt formatCode="General" sourceLinked="1"/>
        <c:majorTickMark val="out"/>
        <c:minorTickMark val="none"/>
        <c:tickLblPos val="nextTo"/>
        <c:crossAx val="80807040"/>
        <c:crosses val="autoZero"/>
        <c:auto val="1"/>
        <c:lblAlgn val="ctr"/>
        <c:lblOffset val="100"/>
        <c:noMultiLvlLbl val="0"/>
      </c:catAx>
      <c:valAx>
        <c:axId val="80807040"/>
        <c:scaling>
          <c:orientation val="minMax"/>
        </c:scaling>
        <c:delete val="0"/>
        <c:axPos val="l"/>
        <c:majorGridlines/>
        <c:numFmt formatCode="General" sourceLinked="1"/>
        <c:majorTickMark val="out"/>
        <c:minorTickMark val="none"/>
        <c:tickLblPos val="nextTo"/>
        <c:crossAx val="61267328"/>
        <c:crosses val="autoZero"/>
        <c:crossBetween val="between"/>
      </c:valAx>
    </c:plotArea>
    <c:legend>
      <c:legendPos val="r"/>
      <c:overlay val="0"/>
    </c:legend>
    <c:plotVisOnly val="1"/>
    <c:dispBlanksAs val="gap"/>
    <c:showDLblsOverMax val="0"/>
  </c:chart>
  <c:spPr>
    <a:ln>
      <a:noFill/>
    </a:ln>
  </c:sp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strRef>
              <c:f>'Biltrafik BAU'!$A$9</c:f>
              <c:strCache>
                <c:ptCount val="1"/>
                <c:pt idx="0">
                  <c:v>Kommungränssnittet</c:v>
                </c:pt>
              </c:strCache>
            </c:strRef>
          </c:tx>
          <c:marker>
            <c:symbol val="none"/>
          </c:marker>
          <c:trendline>
            <c:trendlineType val="linear"/>
            <c:dispRSqr val="0"/>
            <c:dispEq val="0"/>
          </c:trendline>
          <c:val>
            <c:numRef>
              <c:f>'Biltrafik BAU'!$B$9:$CD$9</c:f>
              <c:numCache>
                <c:formatCode>General</c:formatCode>
                <c:ptCount val="81"/>
                <c:pt idx="0">
                  <c:v>2.1481031175420544E-4</c:v>
                </c:pt>
                <c:pt idx="1">
                  <c:v>2.1828467852522221E-4</c:v>
                </c:pt>
                <c:pt idx="2">
                  <c:v>2.3811557915535782E-4</c:v>
                </c:pt>
                <c:pt idx="3">
                  <c:v>2.5919416201303756E-4</c:v>
                </c:pt>
                <c:pt idx="4">
                  <c:v>2.5487767666433327E-4</c:v>
                </c:pt>
                <c:pt idx="5">
                  <c:v>2.8156914074184023E-4</c:v>
                </c:pt>
                <c:pt idx="6">
                  <c:v>2.9700956126669831E-4</c:v>
                </c:pt>
                <c:pt idx="7">
                  <c:v>3.0857885575869952E-4</c:v>
                </c:pt>
                <c:pt idx="8">
                  <c:v>3.0962161172580298E-4</c:v>
                </c:pt>
                <c:pt idx="9">
                  <c:v>3.0894941097172989E-4</c:v>
                </c:pt>
                <c:pt idx="10">
                  <c:v>3.2067854931794944E-4</c:v>
                </c:pt>
                <c:pt idx="11">
                  <c:v>3.269721676619855E-4</c:v>
                </c:pt>
                <c:pt idx="12">
                  <c:v>3.4071030231875552E-4</c:v>
                </c:pt>
                <c:pt idx="13">
                  <c:v>3.6021933774334848E-4</c:v>
                </c:pt>
                <c:pt idx="14">
                  <c:v>3.7398163104094699E-4</c:v>
                </c:pt>
                <c:pt idx="15">
                  <c:v>3.8801866061880869E-4</c:v>
                </c:pt>
                <c:pt idx="16">
                  <c:v>4.0737039961429082E-4</c:v>
                </c:pt>
                <c:pt idx="17">
                  <c:v>4.2663045367432868E-4</c:v>
                </c:pt>
                <c:pt idx="18">
                  <c:v>4.4804219489603334E-4</c:v>
                </c:pt>
                <c:pt idx="19">
                  <c:v>4.6683957021118934E-4</c:v>
                </c:pt>
                <c:pt idx="20">
                  <c:v>4.5792324993880506E-4</c:v>
                </c:pt>
                <c:pt idx="21">
                  <c:v>4.598344873551301E-4</c:v>
                </c:pt>
                <c:pt idx="22">
                  <c:v>4.5688099195271669E-4</c:v>
                </c:pt>
                <c:pt idx="23">
                  <c:v>4.5002092322890015E-4</c:v>
                </c:pt>
                <c:pt idx="24">
                  <c:v>4.4831549893938408E-4</c:v>
                </c:pt>
                <c:pt idx="25">
                  <c:v>4.5148033455850436E-4</c:v>
                </c:pt>
                <c:pt idx="26">
                  <c:v>4.5416901606991822E-4</c:v>
                </c:pt>
                <c:pt idx="27">
                  <c:v>4.5991007662977897E-4</c:v>
                </c:pt>
                <c:pt idx="28">
                  <c:v>4.6171286333777928E-4</c:v>
                </c:pt>
                <c:pt idx="29">
                  <c:v>4.7332799965403165E-4</c:v>
                </c:pt>
                <c:pt idx="30">
                  <c:v>4.8523522987644274E-4</c:v>
                </c:pt>
                <c:pt idx="31">
                  <c:v>4.9016799393974118E-4</c:v>
                </c:pt>
                <c:pt idx="32">
                  <c:v>5.0808450247514852E-4</c:v>
                </c:pt>
                <c:pt idx="33">
                  <c:v>5.1855957996464839E-4</c:v>
                </c:pt>
                <c:pt idx="34">
                  <c:v>5.2699362289939961E-4</c:v>
                </c:pt>
                <c:pt idx="35">
                  <c:v>5.3470311913589666E-4</c:v>
                </c:pt>
                <c:pt idx="36">
                  <c:v>5.3455080784960704E-4</c:v>
                </c:pt>
                <c:pt idx="37">
                  <c:v>5.4285494283711107E-4</c:v>
                </c:pt>
                <c:pt idx="38">
                  <c:v>5.2899157731853654E-4</c:v>
                </c:pt>
                <c:pt idx="39">
                  <c:v>5.1485226578361224E-4</c:v>
                </c:pt>
                <c:pt idx="40">
                  <c:v>5.2087489854034353E-4</c:v>
                </c:pt>
                <c:pt idx="41">
                  <c:v>5.1789674349602397E-4</c:v>
                </c:pt>
                <c:pt idx="42">
                  <c:v>5.149318841488797E-4</c:v>
                </c:pt>
                <c:pt idx="43">
                  <c:v>5.2207763587256242E-4</c:v>
                </c:pt>
                <c:pt idx="44">
                  <c:v>5.2922338759624514E-4</c:v>
                </c:pt>
                <c:pt idx="45">
                  <c:v>5.3636913931992786E-4</c:v>
                </c:pt>
                <c:pt idx="46">
                  <c:v>5.4351489104361057E-4</c:v>
                </c:pt>
                <c:pt idx="47">
                  <c:v>5.5066064276729329E-4</c:v>
                </c:pt>
                <c:pt idx="48">
                  <c:v>5.5780639449097601E-4</c:v>
                </c:pt>
                <c:pt idx="49">
                  <c:v>5.6495214621465873E-4</c:v>
                </c:pt>
                <c:pt idx="50">
                  <c:v>5.7209789793834145E-4</c:v>
                </c:pt>
                <c:pt idx="51">
                  <c:v>5.7924364966202417E-4</c:v>
                </c:pt>
                <c:pt idx="52">
                  <c:v>5.8638940138570688E-4</c:v>
                </c:pt>
                <c:pt idx="53">
                  <c:v>5.935351531093896E-4</c:v>
                </c:pt>
                <c:pt idx="54">
                  <c:v>6.0068090483307232E-4</c:v>
                </c:pt>
                <c:pt idx="55">
                  <c:v>6.0782665655675504E-4</c:v>
                </c:pt>
                <c:pt idx="56">
                  <c:v>6.1497240828043776E-4</c:v>
                </c:pt>
                <c:pt idx="57">
                  <c:v>6.2211816000412048E-4</c:v>
                </c:pt>
                <c:pt idx="58">
                  <c:v>6.2926391172780319E-4</c:v>
                </c:pt>
                <c:pt idx="59">
                  <c:v>6.3640966345148591E-4</c:v>
                </c:pt>
                <c:pt idx="60">
                  <c:v>6.4355541517516863E-4</c:v>
                </c:pt>
                <c:pt idx="61">
                  <c:v>6.5070116689885135E-4</c:v>
                </c:pt>
                <c:pt idx="62">
                  <c:v>6.5784691862253407E-4</c:v>
                </c:pt>
                <c:pt idx="63">
                  <c:v>6.6499267034621679E-4</c:v>
                </c:pt>
                <c:pt idx="64">
                  <c:v>6.7213842206989951E-4</c:v>
                </c:pt>
                <c:pt idx="65">
                  <c:v>6.7928417379358222E-4</c:v>
                </c:pt>
                <c:pt idx="66">
                  <c:v>6.8642992551726494E-4</c:v>
                </c:pt>
                <c:pt idx="67">
                  <c:v>6.9357567724094766E-4</c:v>
                </c:pt>
                <c:pt idx="68">
                  <c:v>7.0072142896463038E-4</c:v>
                </c:pt>
                <c:pt idx="69">
                  <c:v>7.078671806883131E-4</c:v>
                </c:pt>
                <c:pt idx="70">
                  <c:v>7.1501293241199582E-4</c:v>
                </c:pt>
                <c:pt idx="71">
                  <c:v>7.2215868413567853E-4</c:v>
                </c:pt>
                <c:pt idx="72">
                  <c:v>7.2930443585936125E-4</c:v>
                </c:pt>
                <c:pt idx="73">
                  <c:v>7.3645018758304397E-4</c:v>
                </c:pt>
                <c:pt idx="74">
                  <c:v>7.4359593930672669E-4</c:v>
                </c:pt>
                <c:pt idx="75">
                  <c:v>7.5074169103040941E-4</c:v>
                </c:pt>
                <c:pt idx="76">
                  <c:v>7.5788744275409213E-4</c:v>
                </c:pt>
                <c:pt idx="77">
                  <c:v>7.6503319447777485E-4</c:v>
                </c:pt>
                <c:pt idx="78">
                  <c:v>7.7217894620145756E-4</c:v>
                </c:pt>
                <c:pt idx="79">
                  <c:v>7.7932469792514028E-4</c:v>
                </c:pt>
                <c:pt idx="80">
                  <c:v>7.86470449648823E-4</c:v>
                </c:pt>
              </c:numCache>
            </c:numRef>
          </c:val>
          <c:smooth val="0"/>
        </c:ser>
        <c:ser>
          <c:idx val="1"/>
          <c:order val="1"/>
          <c:tx>
            <c:strRef>
              <c:f>'Biltrafik BAU'!$A$10</c:f>
              <c:strCache>
                <c:ptCount val="1"/>
                <c:pt idx="0">
                  <c:v>28 Fasta punkter</c:v>
                </c:pt>
              </c:strCache>
            </c:strRef>
          </c:tx>
          <c:marker>
            <c:symbol val="none"/>
          </c:marker>
          <c:trendline>
            <c:trendlineType val="linear"/>
            <c:dispRSqr val="0"/>
            <c:dispEq val="0"/>
          </c:trendline>
          <c:val>
            <c:numRef>
              <c:f>'Biltrafik BAU'!$B$10:$CD$10</c:f>
              <c:numCache>
                <c:formatCode>General</c:formatCode>
                <c:ptCount val="81"/>
                <c:pt idx="0">
                  <c:v>2.1481031175420544E-4</c:v>
                </c:pt>
                <c:pt idx="1">
                  <c:v>2.3120093169239515E-4</c:v>
                </c:pt>
                <c:pt idx="2">
                  <c:v>2.4381107598888063E-4</c:v>
                </c:pt>
                <c:pt idx="3">
                  <c:v>2.551894453467417E-4</c:v>
                </c:pt>
                <c:pt idx="4">
                  <c:v>2.5016602947247499E-4</c:v>
                </c:pt>
                <c:pt idx="5">
                  <c:v>2.7009947127072691E-4</c:v>
                </c:pt>
                <c:pt idx="6">
                  <c:v>2.8389955019099926E-4</c:v>
                </c:pt>
                <c:pt idx="7">
                  <c:v>2.9108211651464951E-4</c:v>
                </c:pt>
                <c:pt idx="8">
                  <c:v>2.920008695950662E-4</c:v>
                </c:pt>
                <c:pt idx="9">
                  <c:v>2.9399653553378315E-4</c:v>
                </c:pt>
                <c:pt idx="10">
                  <c:v>2.9586827832950356E-4</c:v>
                </c:pt>
                <c:pt idx="11">
                  <c:v>2.9590981173409689E-4</c:v>
                </c:pt>
                <c:pt idx="12">
                  <c:v>3.0196653947754621E-4</c:v>
                </c:pt>
                <c:pt idx="13">
                  <c:v>3.0811955132889815E-4</c:v>
                </c:pt>
                <c:pt idx="14">
                  <c:v>3.1503118478606884E-4</c:v>
                </c:pt>
                <c:pt idx="15">
                  <c:v>3.2150789080952777E-4</c:v>
                </c:pt>
                <c:pt idx="16">
                  <c:v>3.3143972478624122E-4</c:v>
                </c:pt>
                <c:pt idx="17">
                  <c:v>3.4413157181226406E-4</c:v>
                </c:pt>
                <c:pt idx="18">
                  <c:v>3.5425512404732996E-4</c:v>
                </c:pt>
                <c:pt idx="19">
                  <c:v>3.7027602815857725E-4</c:v>
                </c:pt>
                <c:pt idx="20">
                  <c:v>3.5885664669939635E-4</c:v>
                </c:pt>
                <c:pt idx="21">
                  <c:v>3.5592624134483654E-4</c:v>
                </c:pt>
                <c:pt idx="22">
                  <c:v>3.5222712194942038E-4</c:v>
                </c:pt>
                <c:pt idx="23">
                  <c:v>3.4368975996597404E-4</c:v>
                </c:pt>
                <c:pt idx="24">
                  <c:v>3.4169154184090535E-4</c:v>
                </c:pt>
                <c:pt idx="25">
                  <c:v>3.430627197015065E-4</c:v>
                </c:pt>
                <c:pt idx="26">
                  <c:v>3.3963560755568081E-4</c:v>
                </c:pt>
                <c:pt idx="27">
                  <c:v>3.41209475899617E-4</c:v>
                </c:pt>
                <c:pt idx="28">
                  <c:v>3.4704619086887745E-4</c:v>
                </c:pt>
                <c:pt idx="29">
                  <c:v>3.5245529439747444E-4</c:v>
                </c:pt>
                <c:pt idx="30">
                  <c:v>3.5589627186877659E-4</c:v>
                </c:pt>
                <c:pt idx="31">
                  <c:v>3.5754678345820948E-4</c:v>
                </c:pt>
                <c:pt idx="32">
                  <c:v>3.6679784637866087E-4</c:v>
                </c:pt>
                <c:pt idx="33">
                  <c:v>3.7276045643283719E-4</c:v>
                </c:pt>
                <c:pt idx="34">
                  <c:v>3.7639434162148685E-4</c:v>
                </c:pt>
                <c:pt idx="35">
                  <c:v>3.7942681805246814E-4</c:v>
                </c:pt>
                <c:pt idx="36">
                  <c:v>3.7753416490218621E-4</c:v>
                </c:pt>
                <c:pt idx="37">
                  <c:v>3.7932976968685031E-4</c:v>
                </c:pt>
                <c:pt idx="38">
                  <c:v>3.6705538018020901E-4</c:v>
                </c:pt>
                <c:pt idx="39">
                  <c:v>3.5617842429976542E-4</c:v>
                </c:pt>
                <c:pt idx="40">
                  <c:v>3.5620368622153536E-4</c:v>
                </c:pt>
                <c:pt idx="41">
                  <c:v>3.5282316180285718E-4</c:v>
                </c:pt>
                <c:pt idx="42">
                  <c:v>3.4784988851696195E-4</c:v>
                </c:pt>
                <c:pt idx="43">
                  <c:v>3.5101749748750379E-4</c:v>
                </c:pt>
                <c:pt idx="44">
                  <c:v>3.5418510645804564E-4</c:v>
                </c:pt>
                <c:pt idx="45">
                  <c:v>3.5735271542858748E-4</c:v>
                </c:pt>
                <c:pt idx="46">
                  <c:v>3.6052032439912933E-4</c:v>
                </c:pt>
                <c:pt idx="47">
                  <c:v>3.6368793336967117E-4</c:v>
                </c:pt>
                <c:pt idx="48">
                  <c:v>3.6685554234021302E-4</c:v>
                </c:pt>
                <c:pt idx="49">
                  <c:v>3.7002315131075486E-4</c:v>
                </c:pt>
                <c:pt idx="50">
                  <c:v>3.7319076028129671E-4</c:v>
                </c:pt>
                <c:pt idx="51">
                  <c:v>3.7635836925183856E-4</c:v>
                </c:pt>
                <c:pt idx="52">
                  <c:v>3.795259782223804E-4</c:v>
                </c:pt>
                <c:pt idx="53">
                  <c:v>3.8269358719292225E-4</c:v>
                </c:pt>
                <c:pt idx="54">
                  <c:v>3.8586119616346409E-4</c:v>
                </c:pt>
                <c:pt idx="55">
                  <c:v>3.8902880513400594E-4</c:v>
                </c:pt>
                <c:pt idx="56">
                  <c:v>3.9219641410454778E-4</c:v>
                </c:pt>
                <c:pt idx="57">
                  <c:v>3.9536402307508963E-4</c:v>
                </c:pt>
                <c:pt idx="58">
                  <c:v>3.9853163204563147E-4</c:v>
                </c:pt>
                <c:pt idx="59">
                  <c:v>4.0169924101617332E-4</c:v>
                </c:pt>
                <c:pt idx="60">
                  <c:v>4.0486684998671516E-4</c:v>
                </c:pt>
                <c:pt idx="61">
                  <c:v>4.0803445895725701E-4</c:v>
                </c:pt>
                <c:pt idx="62">
                  <c:v>4.1120206792779885E-4</c:v>
                </c:pt>
                <c:pt idx="63">
                  <c:v>4.143696768983407E-4</c:v>
                </c:pt>
                <c:pt idx="64">
                  <c:v>4.1753728586888255E-4</c:v>
                </c:pt>
                <c:pt idx="65">
                  <c:v>4.2070489483942439E-4</c:v>
                </c:pt>
                <c:pt idx="66">
                  <c:v>4.2387250380996624E-4</c:v>
                </c:pt>
                <c:pt idx="67">
                  <c:v>4.2704011278050808E-4</c:v>
                </c:pt>
                <c:pt idx="68">
                  <c:v>4.3020772175104993E-4</c:v>
                </c:pt>
                <c:pt idx="69">
                  <c:v>4.3337533072159177E-4</c:v>
                </c:pt>
                <c:pt idx="70">
                  <c:v>4.3654293969213362E-4</c:v>
                </c:pt>
                <c:pt idx="71">
                  <c:v>4.3971054866267546E-4</c:v>
                </c:pt>
                <c:pt idx="72">
                  <c:v>4.4287815763321731E-4</c:v>
                </c:pt>
                <c:pt idx="73">
                  <c:v>4.4604576660375915E-4</c:v>
                </c:pt>
                <c:pt idx="74">
                  <c:v>4.49213375574301E-4</c:v>
                </c:pt>
                <c:pt idx="75">
                  <c:v>4.5238098454484284E-4</c:v>
                </c:pt>
                <c:pt idx="76">
                  <c:v>4.5554859351538469E-4</c:v>
                </c:pt>
                <c:pt idx="77">
                  <c:v>4.5871620248592654E-4</c:v>
                </c:pt>
                <c:pt idx="78">
                  <c:v>4.6188381145646838E-4</c:v>
                </c:pt>
                <c:pt idx="79">
                  <c:v>4.6505142042701023E-4</c:v>
                </c:pt>
                <c:pt idx="80">
                  <c:v>4.6821902939755207E-4</c:v>
                </c:pt>
              </c:numCache>
            </c:numRef>
          </c:val>
          <c:smooth val="0"/>
        </c:ser>
        <c:dLbls>
          <c:showLegendKey val="0"/>
          <c:showVal val="0"/>
          <c:showCatName val="0"/>
          <c:showSerName val="0"/>
          <c:showPercent val="0"/>
          <c:showBubbleSize val="0"/>
        </c:dLbls>
        <c:marker val="1"/>
        <c:smooth val="0"/>
        <c:axId val="80850944"/>
        <c:axId val="80852480"/>
      </c:lineChart>
      <c:catAx>
        <c:axId val="80850944"/>
        <c:scaling>
          <c:orientation val="minMax"/>
        </c:scaling>
        <c:delete val="0"/>
        <c:axPos val="b"/>
        <c:majorTickMark val="out"/>
        <c:minorTickMark val="none"/>
        <c:tickLblPos val="nextTo"/>
        <c:crossAx val="80852480"/>
        <c:crosses val="autoZero"/>
        <c:auto val="1"/>
        <c:lblAlgn val="ctr"/>
        <c:lblOffset val="100"/>
        <c:noMultiLvlLbl val="0"/>
      </c:catAx>
      <c:valAx>
        <c:axId val="80852480"/>
        <c:scaling>
          <c:orientation val="minMax"/>
        </c:scaling>
        <c:delete val="0"/>
        <c:axPos val="l"/>
        <c:majorGridlines/>
        <c:numFmt formatCode="General" sourceLinked="1"/>
        <c:majorTickMark val="out"/>
        <c:minorTickMark val="none"/>
        <c:tickLblPos val="nextTo"/>
        <c:crossAx val="80850944"/>
        <c:crosses val="autoZero"/>
        <c:crossBetween val="between"/>
      </c:valAx>
    </c:plotArea>
    <c:legend>
      <c:legendPos val="r"/>
      <c:overlay val="0"/>
    </c:legend>
    <c:plotVisOnly val="1"/>
    <c:dispBlanksAs val="gap"/>
    <c:showDLblsOverMax val="0"/>
  </c:chart>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lineChart>
        <c:grouping val="standard"/>
        <c:varyColors val="0"/>
        <c:ser>
          <c:idx val="0"/>
          <c:order val="0"/>
          <c:tx>
            <c:strRef>
              <c:f>'elanvändning BAU'!$B$6</c:f>
              <c:strCache>
                <c:ptCount val="1"/>
                <c:pt idx="0">
                  <c:v>Elanvänding per person</c:v>
                </c:pt>
              </c:strCache>
            </c:strRef>
          </c:tx>
          <c:marker>
            <c:symbol val="none"/>
          </c:marker>
          <c:val>
            <c:numRef>
              <c:f>'elanvändning BAU'!$C$6:$BR$6</c:f>
              <c:numCache>
                <c:formatCode>General</c:formatCode>
                <c:ptCount val="68"/>
                <c:pt idx="0">
                  <c:v>1.3644079464881947E-2</c:v>
                </c:pt>
                <c:pt idx="1">
                  <c:v>1.4538356710678815E-2</c:v>
                </c:pt>
                <c:pt idx="2">
                  <c:v>1.7083946557959851E-2</c:v>
                </c:pt>
                <c:pt idx="3">
                  <c:v>1.7130077318957253E-2</c:v>
                </c:pt>
                <c:pt idx="4">
                  <c:v>1.7391437664686694E-2</c:v>
                </c:pt>
                <c:pt idx="5">
                  <c:v>1.641232275448026E-2</c:v>
                </c:pt>
                <c:pt idx="6">
                  <c:v>1.6040157447441292E-2</c:v>
                </c:pt>
                <c:pt idx="7">
                  <c:v>1.5998826628547614E-2</c:v>
                </c:pt>
                <c:pt idx="8">
                  <c:v>1.7155941513530761E-2</c:v>
                </c:pt>
                <c:pt idx="9">
                  <c:v>1.6632510788927721E-2</c:v>
                </c:pt>
                <c:pt idx="10">
                  <c:v>1.7176915690816433E-2</c:v>
                </c:pt>
                <c:pt idx="11">
                  <c:v>1.7317309676158504E-2</c:v>
                </c:pt>
                <c:pt idx="12">
                  <c:v>1.7247419404772573E-2</c:v>
                </c:pt>
                <c:pt idx="13">
                  <c:v>1.7672114610448823E-2</c:v>
                </c:pt>
                <c:pt idx="14">
                  <c:v>1.6893234059987852E-2</c:v>
                </c:pt>
                <c:pt idx="15">
                  <c:v>1.7049187955893177E-2</c:v>
                </c:pt>
                <c:pt idx="16">
                  <c:v>1.6799440631789963E-2</c:v>
                </c:pt>
                <c:pt idx="17">
                  <c:v>1.6633396346554103E-2</c:v>
                </c:pt>
                <c:pt idx="18">
                  <c:v>1.7537855556682989E-2</c:v>
                </c:pt>
                <c:pt idx="19">
                  <c:v>1.7187075680577597E-2</c:v>
                </c:pt>
                <c:pt idx="20">
                  <c:v>1.725709612764284E-2</c:v>
                </c:pt>
                <c:pt idx="21">
                  <c:v>1.7074387619581969E-2</c:v>
                </c:pt>
                <c:pt idx="22">
                  <c:v>1.6801632051806903E-2</c:v>
                </c:pt>
                <c:pt idx="23">
                  <c:v>1.6403136661239773E-2</c:v>
                </c:pt>
                <c:pt idx="24">
                  <c:v>1.6119588013712841E-2</c:v>
                </c:pt>
                <c:pt idx="25">
                  <c:v>1.6185434707665994E-2</c:v>
                </c:pt>
                <c:pt idx="26">
                  <c:v>1.6300522809790548E-2</c:v>
                </c:pt>
                <c:pt idx="27">
                  <c:v>1.640269370767165E-2</c:v>
                </c:pt>
                <c:pt idx="28">
                  <c:v>1.6504864605552751E-2</c:v>
                </c:pt>
                <c:pt idx="29">
                  <c:v>1.6607035503433853E-2</c:v>
                </c:pt>
                <c:pt idx="30">
                  <c:v>1.6709206401314954E-2</c:v>
                </c:pt>
                <c:pt idx="31">
                  <c:v>1.6811377299196056E-2</c:v>
                </c:pt>
                <c:pt idx="32">
                  <c:v>1.6913548197077157E-2</c:v>
                </c:pt>
                <c:pt idx="33">
                  <c:v>1.7015719094958259E-2</c:v>
                </c:pt>
                <c:pt idx="34">
                  <c:v>1.711788999283936E-2</c:v>
                </c:pt>
                <c:pt idx="35">
                  <c:v>1.7220060890720462E-2</c:v>
                </c:pt>
                <c:pt idx="36">
                  <c:v>1.7322231788601563E-2</c:v>
                </c:pt>
                <c:pt idx="37">
                  <c:v>1.7424402686482664E-2</c:v>
                </c:pt>
                <c:pt idx="38">
                  <c:v>1.7526573584363766E-2</c:v>
                </c:pt>
                <c:pt idx="39">
                  <c:v>1.7628744482244867E-2</c:v>
                </c:pt>
                <c:pt idx="40">
                  <c:v>1.7730915380125969E-2</c:v>
                </c:pt>
                <c:pt idx="41">
                  <c:v>1.783308627800707E-2</c:v>
                </c:pt>
                <c:pt idx="42">
                  <c:v>1.7935257175888172E-2</c:v>
                </c:pt>
                <c:pt idx="43">
                  <c:v>1.8037428073769273E-2</c:v>
                </c:pt>
                <c:pt idx="44">
                  <c:v>1.8139598971650375E-2</c:v>
                </c:pt>
                <c:pt idx="45">
                  <c:v>1.8241769869531476E-2</c:v>
                </c:pt>
                <c:pt idx="46">
                  <c:v>1.8343940767412577E-2</c:v>
                </c:pt>
                <c:pt idx="47">
                  <c:v>1.8446111665293679E-2</c:v>
                </c:pt>
                <c:pt idx="48">
                  <c:v>1.854828256317478E-2</c:v>
                </c:pt>
                <c:pt idx="49">
                  <c:v>1.8650453461055882E-2</c:v>
                </c:pt>
                <c:pt idx="50">
                  <c:v>1.8752624358936983E-2</c:v>
                </c:pt>
                <c:pt idx="51">
                  <c:v>1.8854795256818085E-2</c:v>
                </c:pt>
                <c:pt idx="52">
                  <c:v>1.8956966154699186E-2</c:v>
                </c:pt>
                <c:pt idx="53">
                  <c:v>1.9059137052580288E-2</c:v>
                </c:pt>
                <c:pt idx="54">
                  <c:v>1.9161307950461389E-2</c:v>
                </c:pt>
                <c:pt idx="55">
                  <c:v>1.9263478848342491E-2</c:v>
                </c:pt>
                <c:pt idx="56">
                  <c:v>1.9365649746223592E-2</c:v>
                </c:pt>
                <c:pt idx="57">
                  <c:v>1.9467820644104693E-2</c:v>
                </c:pt>
                <c:pt idx="58">
                  <c:v>1.9569991541985795E-2</c:v>
                </c:pt>
                <c:pt idx="59">
                  <c:v>1.9672162439866896E-2</c:v>
                </c:pt>
                <c:pt idx="60">
                  <c:v>1.9774333337747998E-2</c:v>
                </c:pt>
                <c:pt idx="61">
                  <c:v>1.9876504235629099E-2</c:v>
                </c:pt>
                <c:pt idx="62">
                  <c:v>1.9978675133510201E-2</c:v>
                </c:pt>
                <c:pt idx="63">
                  <c:v>2.0080846031391302E-2</c:v>
                </c:pt>
                <c:pt idx="64">
                  <c:v>2.0183016929272404E-2</c:v>
                </c:pt>
                <c:pt idx="65">
                  <c:v>2.0285187827153505E-2</c:v>
                </c:pt>
                <c:pt idx="66">
                  <c:v>2.0387358725034607E-2</c:v>
                </c:pt>
                <c:pt idx="67">
                  <c:v>2.0489529622915708E-2</c:v>
                </c:pt>
              </c:numCache>
            </c:numRef>
          </c:val>
          <c:smooth val="0"/>
        </c:ser>
        <c:dLbls>
          <c:showLegendKey val="0"/>
          <c:showVal val="0"/>
          <c:showCatName val="0"/>
          <c:showSerName val="0"/>
          <c:showPercent val="0"/>
          <c:showBubbleSize val="0"/>
        </c:dLbls>
        <c:marker val="1"/>
        <c:smooth val="0"/>
        <c:axId val="81827328"/>
        <c:axId val="81828864"/>
      </c:lineChart>
      <c:catAx>
        <c:axId val="81827328"/>
        <c:scaling>
          <c:orientation val="minMax"/>
        </c:scaling>
        <c:delete val="0"/>
        <c:axPos val="b"/>
        <c:majorTickMark val="out"/>
        <c:minorTickMark val="none"/>
        <c:tickLblPos val="nextTo"/>
        <c:crossAx val="81828864"/>
        <c:crosses val="autoZero"/>
        <c:auto val="1"/>
        <c:lblAlgn val="ctr"/>
        <c:lblOffset val="100"/>
        <c:noMultiLvlLbl val="0"/>
      </c:catAx>
      <c:valAx>
        <c:axId val="81828864"/>
        <c:scaling>
          <c:orientation val="minMax"/>
        </c:scaling>
        <c:delete val="0"/>
        <c:axPos val="l"/>
        <c:majorGridlines/>
        <c:numFmt formatCode="General" sourceLinked="1"/>
        <c:majorTickMark val="out"/>
        <c:minorTickMark val="none"/>
        <c:tickLblPos val="nextTo"/>
        <c:crossAx val="81827328"/>
        <c:crosses val="autoZero"/>
        <c:crossBetween val="between"/>
      </c:valAx>
    </c:plotArea>
    <c:plotVisOnly val="1"/>
    <c:dispBlanksAs val="gap"/>
    <c:showDLblsOverMax val="0"/>
  </c:chart>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443285214348206"/>
          <c:y val="3.2882035578885971E-2"/>
          <c:w val="0.66306824146981624"/>
          <c:h val="0.8326195683872849"/>
        </c:manualLayout>
      </c:layout>
      <c:lineChart>
        <c:grouping val="standard"/>
        <c:varyColors val="0"/>
        <c:ser>
          <c:idx val="0"/>
          <c:order val="0"/>
          <c:marker>
            <c:symbol val="none"/>
          </c:marker>
          <c:val>
            <c:numRef>
              <c:f>Bakgrundsdata!$B$3:$BJ$3</c:f>
              <c:numCache>
                <c:formatCode>0</c:formatCode>
                <c:ptCount val="61"/>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pt idx="31">
                  <c:v>2021</c:v>
                </c:pt>
                <c:pt idx="32">
                  <c:v>2022</c:v>
                </c:pt>
                <c:pt idx="33">
                  <c:v>2023</c:v>
                </c:pt>
                <c:pt idx="34">
                  <c:v>2024</c:v>
                </c:pt>
                <c:pt idx="35">
                  <c:v>2025</c:v>
                </c:pt>
                <c:pt idx="36">
                  <c:v>2026</c:v>
                </c:pt>
                <c:pt idx="37">
                  <c:v>2027</c:v>
                </c:pt>
                <c:pt idx="38">
                  <c:v>2028</c:v>
                </c:pt>
                <c:pt idx="39">
                  <c:v>2029</c:v>
                </c:pt>
                <c:pt idx="40">
                  <c:v>2030</c:v>
                </c:pt>
                <c:pt idx="41">
                  <c:v>2031</c:v>
                </c:pt>
                <c:pt idx="42">
                  <c:v>2032</c:v>
                </c:pt>
                <c:pt idx="43">
                  <c:v>2033</c:v>
                </c:pt>
                <c:pt idx="44">
                  <c:v>2034</c:v>
                </c:pt>
                <c:pt idx="45">
                  <c:v>2035</c:v>
                </c:pt>
                <c:pt idx="46">
                  <c:v>2036</c:v>
                </c:pt>
                <c:pt idx="47">
                  <c:v>2037</c:v>
                </c:pt>
                <c:pt idx="48">
                  <c:v>2038</c:v>
                </c:pt>
                <c:pt idx="49">
                  <c:v>2039</c:v>
                </c:pt>
                <c:pt idx="50">
                  <c:v>2040</c:v>
                </c:pt>
                <c:pt idx="51">
                  <c:v>2041</c:v>
                </c:pt>
                <c:pt idx="52">
                  <c:v>2042</c:v>
                </c:pt>
                <c:pt idx="53">
                  <c:v>2043</c:v>
                </c:pt>
                <c:pt idx="54">
                  <c:v>2044</c:v>
                </c:pt>
                <c:pt idx="55">
                  <c:v>2045</c:v>
                </c:pt>
                <c:pt idx="56">
                  <c:v>2046</c:v>
                </c:pt>
                <c:pt idx="57">
                  <c:v>2047</c:v>
                </c:pt>
                <c:pt idx="58">
                  <c:v>2048</c:v>
                </c:pt>
                <c:pt idx="59">
                  <c:v>2049</c:v>
                </c:pt>
                <c:pt idx="60">
                  <c:v>2050</c:v>
                </c:pt>
              </c:numCache>
            </c:numRef>
          </c:val>
          <c:smooth val="0"/>
        </c:ser>
        <c:ser>
          <c:idx val="1"/>
          <c:order val="1"/>
          <c:marker>
            <c:symbol val="none"/>
          </c:marker>
          <c:trendline>
            <c:trendlineType val="exp"/>
            <c:dispRSqr val="0"/>
            <c:dispEq val="1"/>
            <c:trendlineLbl>
              <c:layout>
                <c:manualLayout>
                  <c:x val="-8.63160542432196E-2"/>
                  <c:y val="-4.0122849227179937E-2"/>
                </c:manualLayout>
              </c:layout>
              <c:numFmt formatCode="General" sourceLinked="0"/>
            </c:trendlineLbl>
          </c:trendline>
          <c:val>
            <c:numRef>
              <c:f>Bakgrundsdata!$B$4:$BJ$4</c:f>
              <c:numCache>
                <c:formatCode>#,##0</c:formatCode>
                <c:ptCount val="61"/>
                <c:pt idx="0">
                  <c:v>432035</c:v>
                </c:pt>
                <c:pt idx="1">
                  <c:v>431155</c:v>
                </c:pt>
                <c:pt idx="2">
                  <c:v>432765</c:v>
                </c:pt>
                <c:pt idx="3">
                  <c:v>436250</c:v>
                </c:pt>
                <c:pt idx="4">
                  <c:v>444244</c:v>
                </c:pt>
                <c:pt idx="5">
                  <c:v>448998</c:v>
                </c:pt>
                <c:pt idx="6">
                  <c:v>453850</c:v>
                </c:pt>
                <c:pt idx="7">
                  <c:v>456506</c:v>
                </c:pt>
                <c:pt idx="8">
                  <c:v>459556</c:v>
                </c:pt>
                <c:pt idx="9">
                  <c:v>462309</c:v>
                </c:pt>
                <c:pt idx="10">
                  <c:v>467029</c:v>
                </c:pt>
                <c:pt idx="11">
                  <c:v>471328</c:v>
                </c:pt>
                <c:pt idx="12">
                  <c:v>474877</c:v>
                </c:pt>
                <c:pt idx="13">
                  <c:v>478054</c:v>
                </c:pt>
                <c:pt idx="14">
                  <c:v>481409</c:v>
                </c:pt>
                <c:pt idx="15">
                  <c:v>484993</c:v>
                </c:pt>
                <c:pt idx="16">
                  <c:v>489797</c:v>
                </c:pt>
                <c:pt idx="17">
                  <c:v>493498</c:v>
                </c:pt>
                <c:pt idx="18">
                  <c:v>500181</c:v>
                </c:pt>
                <c:pt idx="19">
                  <c:v>507328</c:v>
                </c:pt>
                <c:pt idx="20">
                  <c:v>513726</c:v>
                </c:pt>
                <c:pt idx="21">
                  <c:v>520358</c:v>
                </c:pt>
                <c:pt idx="22">
                  <c:v>526089</c:v>
                </c:pt>
                <c:pt idx="23">
                  <c:v>532366.42332650488</c:v>
                </c:pt>
                <c:pt idx="24">
                  <c:v>538813.42751486506</c:v>
                </c:pt>
                <c:pt idx="25">
                  <c:v>544929.46179550781</c:v>
                </c:pt>
                <c:pt idx="26">
                  <c:v>551149.73988951987</c:v>
                </c:pt>
                <c:pt idx="27">
                  <c:v>557466.68882349029</c:v>
                </c:pt>
                <c:pt idx="28">
                  <c:v>563865.40847259003</c:v>
                </c:pt>
                <c:pt idx="29">
                  <c:v>570338.14204012731</c:v>
                </c:pt>
                <c:pt idx="30">
                  <c:v>576875.92616538797</c:v>
                </c:pt>
                <c:pt idx="31">
                  <c:v>583465.96903595247</c:v>
                </c:pt>
                <c:pt idx="32">
                  <c:v>590101.42911455675</c:v>
                </c:pt>
                <c:pt idx="33">
                  <c:v>596773.19410423224</c:v>
                </c:pt>
                <c:pt idx="34">
                  <c:v>603432.74022590066</c:v>
                </c:pt>
                <c:pt idx="35">
                  <c:v>610114.69461465627</c:v>
                </c:pt>
                <c:pt idx="36" formatCode="General">
                  <c:v>617108.70757628139</c:v>
                </c:pt>
                <c:pt idx="37" formatCode="General">
                  <c:v>624182.89598317794</c:v>
                </c:pt>
                <c:pt idx="38" formatCode="General">
                  <c:v>631338.17892172164</c:v>
                </c:pt>
                <c:pt idx="39" formatCode="General">
                  <c:v>638575.4860141793</c:v>
                </c:pt>
                <c:pt idx="40" formatCode="General">
                  <c:v>645895.75753948651</c:v>
                </c:pt>
                <c:pt idx="41" formatCode="General">
                  <c:v>653299.94455540972</c:v>
                </c:pt>
                <c:pt idx="42" formatCode="General">
                  <c:v>660789.00902210863</c:v>
                </c:pt>
                <c:pt idx="43" formatCode="General">
                  <c:v>668363.92392711504</c:v>
                </c:pt>
                <c:pt idx="44" formatCode="General">
                  <c:v>676025.67341174476</c:v>
                </c:pt>
                <c:pt idx="45" formatCode="General">
                  <c:v>683775.25289895793</c:v>
                </c:pt>
                <c:pt idx="46" formatCode="General">
                  <c:v>691613.66922268586</c:v>
                </c:pt>
                <c:pt idx="47" formatCode="General">
                  <c:v>699541.94075863971</c:v>
                </c:pt>
                <c:pt idx="48" formatCode="General">
                  <c:v>707561.09755661921</c:v>
                </c:pt>
                <c:pt idx="49" formatCode="General">
                  <c:v>715672.1814743377</c:v>
                </c:pt>
                <c:pt idx="50" formatCode="General">
                  <c:v>723876.24631278159</c:v>
                </c:pt>
                <c:pt idx="51" formatCode="General">
                  <c:v>732174.35795312119</c:v>
                </c:pt>
                <c:pt idx="52" formatCode="General">
                  <c:v>740567.59449519124</c:v>
                </c:pt>
                <c:pt idx="53" formatCode="General">
                  <c:v>749057.04639755888</c:v>
                </c:pt>
                <c:pt idx="54" formatCode="General">
                  <c:v>757643.81661919726</c:v>
                </c:pt>
                <c:pt idx="55" formatCode="General">
                  <c:v>766329.02076278301</c:v>
                </c:pt>
                <c:pt idx="56" formatCode="General">
                  <c:v>775113.78721963672</c:v>
                </c:pt>
                <c:pt idx="57" formatCode="General">
                  <c:v>783999.25731632474</c:v>
                </c:pt>
                <c:pt idx="58" formatCode="General">
                  <c:v>792986.58546294156</c:v>
                </c:pt>
                <c:pt idx="59" formatCode="General">
                  <c:v>802076.93930309208</c:v>
                </c:pt>
                <c:pt idx="60" formatCode="General">
                  <c:v>811271.49986559327</c:v>
                </c:pt>
              </c:numCache>
            </c:numRef>
          </c:val>
          <c:smooth val="0"/>
        </c:ser>
        <c:dLbls>
          <c:showLegendKey val="0"/>
          <c:showVal val="0"/>
          <c:showCatName val="0"/>
          <c:showSerName val="0"/>
          <c:showPercent val="0"/>
          <c:showBubbleSize val="0"/>
        </c:dLbls>
        <c:marker val="1"/>
        <c:smooth val="0"/>
        <c:axId val="86139648"/>
        <c:axId val="86141184"/>
      </c:lineChart>
      <c:catAx>
        <c:axId val="86139648"/>
        <c:scaling>
          <c:orientation val="minMax"/>
        </c:scaling>
        <c:delete val="0"/>
        <c:axPos val="b"/>
        <c:majorTickMark val="out"/>
        <c:minorTickMark val="none"/>
        <c:tickLblPos val="nextTo"/>
        <c:crossAx val="86141184"/>
        <c:crosses val="autoZero"/>
        <c:auto val="1"/>
        <c:lblAlgn val="ctr"/>
        <c:lblOffset val="100"/>
        <c:noMultiLvlLbl val="0"/>
      </c:catAx>
      <c:valAx>
        <c:axId val="86141184"/>
        <c:scaling>
          <c:orientation val="minMax"/>
        </c:scaling>
        <c:delete val="0"/>
        <c:axPos val="l"/>
        <c:majorGridlines/>
        <c:numFmt formatCode="0" sourceLinked="1"/>
        <c:majorTickMark val="out"/>
        <c:minorTickMark val="none"/>
        <c:tickLblPos val="nextTo"/>
        <c:crossAx val="86139648"/>
        <c:crosses val="autoZero"/>
        <c:crossBetween val="between"/>
      </c:valAx>
    </c:plotArea>
    <c:legend>
      <c:legendPos val="r"/>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7.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chart" Target="../charts/chart6.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_rels/drawing9.xml.rels><?xml version="1.0" encoding="UTF-8" standalone="yes"?>
<Relationships xmlns="http://schemas.openxmlformats.org/package/2006/relationships"><Relationship Id="rId3" Type="http://schemas.openxmlformats.org/officeDocument/2006/relationships/chart" Target="../charts/chart11.xml"/><Relationship Id="rId2" Type="http://schemas.openxmlformats.org/officeDocument/2006/relationships/chart" Target="../charts/chart10.xml"/><Relationship Id="rId1" Type="http://schemas.openxmlformats.org/officeDocument/2006/relationships/chart" Target="../charts/chart9.xml"/><Relationship Id="rId4" Type="http://schemas.openxmlformats.org/officeDocument/2006/relationships/chart" Target="../charts/chart12.xml"/></Relationships>
</file>

<file path=xl/drawings/drawing1.xml><?xml version="1.0" encoding="utf-8"?>
<xdr:wsDr xmlns:xdr="http://schemas.openxmlformats.org/drawingml/2006/spreadsheetDrawing" xmlns:a="http://schemas.openxmlformats.org/drawingml/2006/main">
  <xdr:twoCellAnchor>
    <xdr:from>
      <xdr:col>1</xdr:col>
      <xdr:colOff>190500</xdr:colOff>
      <xdr:row>44</xdr:row>
      <xdr:rowOff>185736</xdr:rowOff>
    </xdr:from>
    <xdr:to>
      <xdr:col>3</xdr:col>
      <xdr:colOff>0</xdr:colOff>
      <xdr:row>60</xdr:row>
      <xdr:rowOff>133349</xdr:rowOff>
    </xdr:to>
    <xdr:graphicFrame macro="">
      <xdr:nvGraphicFramePr>
        <xdr:cNvPr id="4" name="Diagram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406400</xdr:colOff>
      <xdr:row>61</xdr:row>
      <xdr:rowOff>127000</xdr:rowOff>
    </xdr:from>
    <xdr:to>
      <xdr:col>3</xdr:col>
      <xdr:colOff>0</xdr:colOff>
      <xdr:row>63</xdr:row>
      <xdr:rowOff>63500</xdr:rowOff>
    </xdr:to>
    <xdr:sp macro="" textlink="">
      <xdr:nvSpPr>
        <xdr:cNvPr id="2" name="textruta 1"/>
        <xdr:cNvSpPr txBox="1"/>
      </xdr:nvSpPr>
      <xdr:spPr>
        <a:xfrm>
          <a:off x="3035300" y="11849100"/>
          <a:ext cx="4622800" cy="317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100"/>
            <a:t>Första figuren i sammanfattningen och Figur 8</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228606</xdr:colOff>
      <xdr:row>43</xdr:row>
      <xdr:rowOff>154781</xdr:rowOff>
    </xdr:from>
    <xdr:to>
      <xdr:col>3</xdr:col>
      <xdr:colOff>0</xdr:colOff>
      <xdr:row>60</xdr:row>
      <xdr:rowOff>154781</xdr:rowOff>
    </xdr:to>
    <xdr:graphicFrame macro="">
      <xdr:nvGraphicFramePr>
        <xdr:cNvPr id="3" name="Diagram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614362</xdr:colOff>
      <xdr:row>63</xdr:row>
      <xdr:rowOff>92869</xdr:rowOff>
    </xdr:from>
    <xdr:to>
      <xdr:col>2</xdr:col>
      <xdr:colOff>2081212</xdr:colOff>
      <xdr:row>65</xdr:row>
      <xdr:rowOff>7144</xdr:rowOff>
    </xdr:to>
    <xdr:sp macro="" textlink="">
      <xdr:nvSpPr>
        <xdr:cNvPr id="2" name="textruta 1"/>
        <xdr:cNvSpPr txBox="1"/>
      </xdr:nvSpPr>
      <xdr:spPr>
        <a:xfrm>
          <a:off x="3448050" y="12189619"/>
          <a:ext cx="3598068" cy="2952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100"/>
            <a:t>figur 10</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257181</xdr:colOff>
      <xdr:row>45</xdr:row>
      <xdr:rowOff>76200</xdr:rowOff>
    </xdr:from>
    <xdr:to>
      <xdr:col>3</xdr:col>
      <xdr:colOff>152400</xdr:colOff>
      <xdr:row>61</xdr:row>
      <xdr:rowOff>76200</xdr:rowOff>
    </xdr:to>
    <xdr:graphicFrame macro="">
      <xdr:nvGraphicFramePr>
        <xdr:cNvPr id="3" name="Diagram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266700</xdr:colOff>
      <xdr:row>64</xdr:row>
      <xdr:rowOff>114300</xdr:rowOff>
    </xdr:from>
    <xdr:to>
      <xdr:col>2</xdr:col>
      <xdr:colOff>2286000</xdr:colOff>
      <xdr:row>66</xdr:row>
      <xdr:rowOff>50800</xdr:rowOff>
    </xdr:to>
    <xdr:sp macro="" textlink="">
      <xdr:nvSpPr>
        <xdr:cNvPr id="4" name="textruta 3"/>
        <xdr:cNvSpPr txBox="1"/>
      </xdr:nvSpPr>
      <xdr:spPr>
        <a:xfrm>
          <a:off x="3095625" y="12449175"/>
          <a:ext cx="4152900" cy="317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100">
              <a:solidFill>
                <a:schemeClr val="dk1"/>
              </a:solidFill>
              <a:effectLst/>
              <a:latin typeface="+mn-lt"/>
              <a:ea typeface="+mn-ea"/>
              <a:cs typeface="+mn-cs"/>
            </a:rPr>
            <a:t>Andra figuren i sammanfattningen och </a:t>
          </a:r>
          <a:r>
            <a:rPr lang="sv-SE" sz="1100"/>
            <a:t>figur 12</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223837</xdr:colOff>
      <xdr:row>47</xdr:row>
      <xdr:rowOff>128587</xdr:rowOff>
    </xdr:from>
    <xdr:to>
      <xdr:col>3</xdr:col>
      <xdr:colOff>0</xdr:colOff>
      <xdr:row>62</xdr:row>
      <xdr:rowOff>14287</xdr:rowOff>
    </xdr:to>
    <xdr:graphicFrame macro="">
      <xdr:nvGraphicFramePr>
        <xdr:cNvPr id="5" name="Diagram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95250</xdr:colOff>
      <xdr:row>63</xdr:row>
      <xdr:rowOff>95250</xdr:rowOff>
    </xdr:from>
    <xdr:to>
      <xdr:col>3</xdr:col>
      <xdr:colOff>0</xdr:colOff>
      <xdr:row>65</xdr:row>
      <xdr:rowOff>31750</xdr:rowOff>
    </xdr:to>
    <xdr:sp macro="" textlink="">
      <xdr:nvSpPr>
        <xdr:cNvPr id="3" name="textruta 2"/>
        <xdr:cNvSpPr txBox="1"/>
      </xdr:nvSpPr>
      <xdr:spPr>
        <a:xfrm>
          <a:off x="2924175" y="12144375"/>
          <a:ext cx="4622800" cy="317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100">
              <a:solidFill>
                <a:schemeClr val="dk1"/>
              </a:solidFill>
              <a:effectLst/>
              <a:latin typeface="+mn-lt"/>
              <a:ea typeface="+mn-ea"/>
              <a:cs typeface="+mn-cs"/>
            </a:rPr>
            <a:t>Tredje figuren i sammanfattningen och </a:t>
          </a:r>
          <a:r>
            <a:rPr lang="sv-SE" sz="1100"/>
            <a:t>Figur  14</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266700</xdr:colOff>
      <xdr:row>11</xdr:row>
      <xdr:rowOff>138112</xdr:rowOff>
    </xdr:from>
    <xdr:to>
      <xdr:col>3</xdr:col>
      <xdr:colOff>457200</xdr:colOff>
      <xdr:row>26</xdr:row>
      <xdr:rowOff>23812</xdr:rowOff>
    </xdr:to>
    <xdr:graphicFrame macro="">
      <xdr:nvGraphicFramePr>
        <xdr:cNvPr id="2" name="Diagram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11</xdr:col>
      <xdr:colOff>228600</xdr:colOff>
      <xdr:row>1</xdr:row>
      <xdr:rowOff>142875</xdr:rowOff>
    </xdr:from>
    <xdr:to>
      <xdr:col>22</xdr:col>
      <xdr:colOff>95250</xdr:colOff>
      <xdr:row>18</xdr:row>
      <xdr:rowOff>114300</xdr:rowOff>
    </xdr:to>
    <xdr:sp macro="" textlink="">
      <xdr:nvSpPr>
        <xdr:cNvPr id="2" name="textruta 1"/>
        <xdr:cNvSpPr txBox="1"/>
      </xdr:nvSpPr>
      <xdr:spPr>
        <a:xfrm>
          <a:off x="10763250" y="333375"/>
          <a:ext cx="6696075" cy="30194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dk1"/>
              </a:solidFill>
              <a:effectLst/>
              <a:latin typeface="+mn-lt"/>
              <a:ea typeface="+mn-ea"/>
              <a:cs typeface="+mn-cs"/>
            </a:rPr>
            <a:t>FRÅN ROBINS EXJOBB:</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For estimating the potentials different fuels are assumed to entirely phase out the ones used today. VGR's goal to double the transportation during 2006-2025 can be expressed as an annual increase of 3,7 percent. A big share of that increase has already been seen and it is thus assumed an annual increase of 2 percent, which also is in line with the estimations in one of Biogas Väst's studies (Ecoplan, 2012). Thus an annual increase of 2 % assumed to go on between 2012 and 2030 for all the transportation types except for ferries which is assumed to be constant at 32 ferries. Further an energy efficiency increase of 0,9 % per year was used (Grübler, 1998). </a:t>
          </a:r>
          <a:endParaRPr lang="sv-SE"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190500</xdr:colOff>
      <xdr:row>19</xdr:row>
      <xdr:rowOff>19050</xdr:rowOff>
    </xdr:from>
    <xdr:to>
      <xdr:col>4</xdr:col>
      <xdr:colOff>1009650</xdr:colOff>
      <xdr:row>42</xdr:row>
      <xdr:rowOff>109537</xdr:rowOff>
    </xdr:to>
    <xdr:graphicFrame macro="">
      <xdr:nvGraphicFramePr>
        <xdr:cNvPr id="2" name="Diagra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85725</xdr:colOff>
      <xdr:row>16</xdr:row>
      <xdr:rowOff>14287</xdr:rowOff>
    </xdr:from>
    <xdr:to>
      <xdr:col>7</xdr:col>
      <xdr:colOff>1057275</xdr:colOff>
      <xdr:row>30</xdr:row>
      <xdr:rowOff>90487</xdr:rowOff>
    </xdr:to>
    <xdr:graphicFrame macro="">
      <xdr:nvGraphicFramePr>
        <xdr:cNvPr id="5" name="Diagram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2</xdr:col>
      <xdr:colOff>276225</xdr:colOff>
      <xdr:row>7</xdr:row>
      <xdr:rowOff>157162</xdr:rowOff>
    </xdr:from>
    <xdr:to>
      <xdr:col>9</xdr:col>
      <xdr:colOff>581025</xdr:colOff>
      <xdr:row>22</xdr:row>
      <xdr:rowOff>42862</xdr:rowOff>
    </xdr:to>
    <xdr:graphicFrame macro="">
      <xdr:nvGraphicFramePr>
        <xdr:cNvPr id="2" name="Diagra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0</xdr:col>
      <xdr:colOff>180975</xdr:colOff>
      <xdr:row>5</xdr:row>
      <xdr:rowOff>185737</xdr:rowOff>
    </xdr:from>
    <xdr:to>
      <xdr:col>7</xdr:col>
      <xdr:colOff>228600</xdr:colOff>
      <xdr:row>20</xdr:row>
      <xdr:rowOff>71437</xdr:rowOff>
    </xdr:to>
    <xdr:graphicFrame macro="">
      <xdr:nvGraphicFramePr>
        <xdr:cNvPr id="4" name="Diagram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171450</xdr:colOff>
      <xdr:row>25</xdr:row>
      <xdr:rowOff>61912</xdr:rowOff>
    </xdr:from>
    <xdr:to>
      <xdr:col>7</xdr:col>
      <xdr:colOff>219075</xdr:colOff>
      <xdr:row>39</xdr:row>
      <xdr:rowOff>138112</xdr:rowOff>
    </xdr:to>
    <xdr:graphicFrame macro="">
      <xdr:nvGraphicFramePr>
        <xdr:cNvPr id="5" name="Diagram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285750</xdr:colOff>
      <xdr:row>54</xdr:row>
      <xdr:rowOff>4762</xdr:rowOff>
    </xdr:from>
    <xdr:to>
      <xdr:col>7</xdr:col>
      <xdr:colOff>333375</xdr:colOff>
      <xdr:row>68</xdr:row>
      <xdr:rowOff>80962</xdr:rowOff>
    </xdr:to>
    <xdr:graphicFrame macro="">
      <xdr:nvGraphicFramePr>
        <xdr:cNvPr id="2" name="Diagram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123825</xdr:colOff>
      <xdr:row>54</xdr:row>
      <xdr:rowOff>52387</xdr:rowOff>
    </xdr:from>
    <xdr:to>
      <xdr:col>15</xdr:col>
      <xdr:colOff>428625</xdr:colOff>
      <xdr:row>68</xdr:row>
      <xdr:rowOff>128587</xdr:rowOff>
    </xdr:to>
    <xdr:graphicFrame macro="">
      <xdr:nvGraphicFramePr>
        <xdr:cNvPr id="3" name="Diagram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Bok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lad1"/>
      <sheetName val="Blad2"/>
      <sheetName val="Blad3"/>
      <sheetName val="Bok1"/>
      <sheetName val="Flyg gammal"/>
      <sheetName val="uppskattning VGR"/>
    </sheetNames>
    <definedNames>
      <definedName name="x"/>
      <definedName name="y"/>
      <definedName name="ySeries1"/>
      <definedName name="ySeries2"/>
      <definedName name="ySeries3"/>
      <definedName name="ySeries4"/>
    </definedNames>
    <sheetDataSet>
      <sheetData sheetId="0" refreshError="1"/>
      <sheetData sheetId="1" refreshError="1"/>
      <sheetData sheetId="2" refreshError="1"/>
      <sheetData sheetId="3" refreshError="1"/>
      <sheetData sheetId="4">
        <row r="22">
          <cell r="G22">
            <v>906.41056557265392</v>
          </cell>
        </row>
      </sheetData>
      <sheetData sheetId="5"/>
    </sheetDataSet>
  </externalBook>
</externalLink>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6.xml"/><Relationship Id="rId1" Type="http://schemas.openxmlformats.org/officeDocument/2006/relationships/printerSettings" Target="../printerSettings/printerSettings9.bin"/><Relationship Id="rId4" Type="http://schemas.openxmlformats.org/officeDocument/2006/relationships/comments" Target="../comments8.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2.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43"/>
  <sheetViews>
    <sheetView topLeftCell="A19" zoomScale="80" zoomScaleNormal="80" workbookViewId="0">
      <pane xSplit="1" topLeftCell="B1" activePane="topRight" state="frozen"/>
      <selection pane="topRight" activeCell="A35" sqref="A35:A43"/>
    </sheetView>
  </sheetViews>
  <sheetFormatPr defaultRowHeight="15"/>
  <cols>
    <col min="1" max="1" width="39.42578125" style="74" bestFit="1" customWidth="1"/>
    <col min="2" max="2" width="32" style="6" bestFit="1" customWidth="1"/>
    <col min="3" max="3" width="34.85546875" style="6" bestFit="1" customWidth="1"/>
    <col min="4" max="4" width="33.42578125" style="6" customWidth="1"/>
    <col min="6" max="6" width="16.5703125" bestFit="1" customWidth="1"/>
  </cols>
  <sheetData>
    <row r="1" spans="1:5" ht="18.75">
      <c r="A1" s="72"/>
      <c r="B1" s="72" t="s">
        <v>15</v>
      </c>
      <c r="C1" s="72" t="s">
        <v>10</v>
      </c>
      <c r="D1" s="72" t="s">
        <v>9</v>
      </c>
      <c r="E1" s="1"/>
    </row>
    <row r="2" spans="1:5" s="107" customFormat="1" ht="18.75">
      <c r="A2" s="72"/>
      <c r="B2" s="201" t="s">
        <v>422</v>
      </c>
      <c r="C2" s="201" t="s">
        <v>423</v>
      </c>
      <c r="D2" s="201" t="s">
        <v>384</v>
      </c>
      <c r="E2" s="108"/>
    </row>
    <row r="3" spans="1:5">
      <c r="A3" s="74" t="s">
        <v>318</v>
      </c>
      <c r="B3" s="94">
        <v>723667</v>
      </c>
      <c r="C3" s="94">
        <v>293751</v>
      </c>
      <c r="D3" s="94">
        <v>222221</v>
      </c>
    </row>
    <row r="4" spans="1:5">
      <c r="A4" s="74" t="s">
        <v>319</v>
      </c>
      <c r="B4" s="94">
        <v>126</v>
      </c>
      <c r="C4" s="94">
        <v>76</v>
      </c>
      <c r="D4" s="94">
        <v>76</v>
      </c>
    </row>
    <row r="5" spans="1:5">
      <c r="A5" s="74" t="s">
        <v>1</v>
      </c>
      <c r="B5" s="94" t="s">
        <v>4</v>
      </c>
      <c r="C5" s="94" t="s">
        <v>8</v>
      </c>
      <c r="D5" s="94" t="s">
        <v>11</v>
      </c>
    </row>
    <row r="6" spans="1:5">
      <c r="A6" s="74" t="s">
        <v>320</v>
      </c>
      <c r="B6" s="94" t="s">
        <v>5</v>
      </c>
      <c r="C6" s="94" t="s">
        <v>5</v>
      </c>
      <c r="D6" s="94"/>
    </row>
    <row r="7" spans="1:5">
      <c r="A7" s="74" t="s">
        <v>389</v>
      </c>
      <c r="B7" s="94" t="s">
        <v>6</v>
      </c>
      <c r="C7" s="94" t="s">
        <v>6</v>
      </c>
      <c r="D7" s="94">
        <v>1.7</v>
      </c>
    </row>
    <row r="8" spans="1:5" s="3" customFormat="1">
      <c r="A8" s="74" t="s">
        <v>184</v>
      </c>
      <c r="B8" s="86">
        <v>3</v>
      </c>
      <c r="C8" s="86">
        <v>3</v>
      </c>
      <c r="D8" s="86">
        <v>1.52</v>
      </c>
    </row>
    <row r="9" spans="1:5" s="47" customFormat="1">
      <c r="A9" s="74" t="s">
        <v>321</v>
      </c>
      <c r="B9" s="86">
        <f>B3/B8</f>
        <v>241222.33333333334</v>
      </c>
      <c r="C9" s="86">
        <f t="shared" ref="C9:D9" si="0">C3/C8</f>
        <v>97917</v>
      </c>
      <c r="D9" s="86">
        <f t="shared" si="0"/>
        <v>146198.02631578947</v>
      </c>
    </row>
    <row r="10" spans="1:5" s="3" customFormat="1">
      <c r="A10" s="74"/>
      <c r="B10" s="67"/>
      <c r="C10" s="67"/>
      <c r="D10" s="67"/>
    </row>
    <row r="11" spans="1:5" s="5" customFormat="1">
      <c r="A11" s="74" t="s">
        <v>16</v>
      </c>
      <c r="B11" s="86">
        <v>2</v>
      </c>
      <c r="C11" s="86">
        <v>0</v>
      </c>
      <c r="D11" s="86">
        <f>0.34*D7</f>
        <v>0.57800000000000007</v>
      </c>
    </row>
    <row r="12" spans="1:5" s="5" customFormat="1">
      <c r="A12" s="74" t="s">
        <v>317</v>
      </c>
      <c r="B12" s="86">
        <v>18562</v>
      </c>
      <c r="C12" s="105"/>
      <c r="D12" s="86">
        <v>5100</v>
      </c>
    </row>
    <row r="13" spans="1:5" s="82" customFormat="1">
      <c r="A13" s="74" t="s">
        <v>322</v>
      </c>
      <c r="B13" s="86">
        <v>8297</v>
      </c>
      <c r="C13" s="105"/>
      <c r="D13" s="86"/>
    </row>
    <row r="14" spans="1:5" s="82" customFormat="1">
      <c r="A14" s="74" t="s">
        <v>338</v>
      </c>
      <c r="B14" s="86"/>
      <c r="C14" s="105"/>
      <c r="D14" s="86"/>
    </row>
    <row r="15" spans="1:5" s="5" customFormat="1">
      <c r="A15" s="74" t="s">
        <v>314</v>
      </c>
      <c r="B15" s="86">
        <v>205</v>
      </c>
      <c r="C15" s="105"/>
      <c r="D15" s="86">
        <v>181.6</v>
      </c>
    </row>
    <row r="16" spans="1:5" s="82" customFormat="1">
      <c r="A16" s="74" t="s">
        <v>315</v>
      </c>
      <c r="B16" s="86">
        <v>145</v>
      </c>
      <c r="C16" s="105"/>
      <c r="D16" s="86"/>
    </row>
    <row r="17" spans="1:7" s="82" customFormat="1">
      <c r="A17" s="74" t="s">
        <v>337</v>
      </c>
      <c r="B17" s="86"/>
      <c r="C17" s="105"/>
      <c r="D17" s="86"/>
    </row>
    <row r="18" spans="1:7" s="70" customFormat="1">
      <c r="A18" s="68" t="s">
        <v>330</v>
      </c>
      <c r="B18" s="86">
        <f>(((B12*B15)+(B13*B16)+(B14*B17))*'Emissionsfaktorer bränslen'!$E$8)/1000</f>
        <v>5513.2177454814164</v>
      </c>
      <c r="C18" s="105"/>
      <c r="D18" s="86"/>
    </row>
    <row r="19" spans="1:7" s="71" customFormat="1">
      <c r="A19" s="277" t="s">
        <v>331</v>
      </c>
      <c r="B19" s="86">
        <f>B18/B8</f>
        <v>1837.7392484938055</v>
      </c>
      <c r="C19" s="105"/>
      <c r="D19" s="86">
        <f>D12*D15*'Emissionsfaktorer bränslen'!$E$8/1000</f>
        <v>1019.5370156700798</v>
      </c>
    </row>
    <row r="20" spans="1:7" s="71" customFormat="1">
      <c r="A20" s="68" t="s">
        <v>323</v>
      </c>
      <c r="B20" s="86">
        <f>'data från trafikkontoret'!D59</f>
        <v>2608.1249641792324</v>
      </c>
      <c r="C20" s="106">
        <f>'data från trafikkontoret'!D55</f>
        <v>3979.4265674798839</v>
      </c>
      <c r="D20" s="86">
        <f>kollektivtrafik!B25</f>
        <v>1299.5150729764871</v>
      </c>
    </row>
    <row r="21" spans="1:7" s="71" customFormat="1">
      <c r="A21" s="277" t="s">
        <v>324</v>
      </c>
      <c r="B21" s="86">
        <f>B20*kollektivtrafik!$J$15</f>
        <v>64.712447053100902</v>
      </c>
      <c r="C21" s="86">
        <f>C20*kollektivtrafik!$J$15</f>
        <v>98.736998643308937</v>
      </c>
      <c r="D21" s="86">
        <f>D20*kollektivtrafik!$J$15</f>
        <v>32.243393821109258</v>
      </c>
    </row>
    <row r="22" spans="1:7" s="71" customFormat="1">
      <c r="A22" s="68" t="s">
        <v>325</v>
      </c>
      <c r="B22" s="86">
        <f>'Flyg nuläge'!B15</f>
        <v>2408.8865484645053</v>
      </c>
      <c r="C22" s="86">
        <f>D22/2</f>
        <v>537.69789028225568</v>
      </c>
      <c r="D22" s="185">
        <f>'Flyg nuläge'!$B$16</f>
        <v>1075.3957805645114</v>
      </c>
    </row>
    <row r="23" spans="1:7" s="71" customFormat="1">
      <c r="A23" s="68" t="s">
        <v>12</v>
      </c>
      <c r="B23" s="86" t="s">
        <v>179</v>
      </c>
      <c r="C23" s="86" t="s">
        <v>179</v>
      </c>
      <c r="D23" s="86" t="s">
        <v>182</v>
      </c>
    </row>
    <row r="24" spans="1:7" s="71" customFormat="1">
      <c r="A24" s="68" t="s">
        <v>326</v>
      </c>
      <c r="B24" s="86">
        <v>117</v>
      </c>
      <c r="C24" s="86">
        <v>143</v>
      </c>
      <c r="D24" s="86">
        <f>(0.8*143)+(0.2*117)</f>
        <v>137.80000000000001</v>
      </c>
    </row>
    <row r="25" spans="1:7" s="71" customFormat="1">
      <c r="A25" s="68" t="s">
        <v>327</v>
      </c>
      <c r="B25" s="185">
        <v>4143</v>
      </c>
      <c r="C25" s="185">
        <v>3710</v>
      </c>
      <c r="D25" s="185">
        <f>1282.948*10^6/513516</f>
        <v>2498.360323728959</v>
      </c>
    </row>
    <row r="26" spans="1:7" s="68" customFormat="1">
      <c r="A26" s="277" t="s">
        <v>328</v>
      </c>
      <c r="B26" s="86">
        <f>(B24*'emissionsfaktorer variabla'!$B$3*B4)/(B8*1000)</f>
        <v>452.08800000000002</v>
      </c>
      <c r="C26" s="86">
        <f>(C24*'emissionsfaktorer variabla'!$B$3*C4)/(C8*1000)</f>
        <v>333.28533333333331</v>
      </c>
      <c r="D26" s="86">
        <f>(3646.5005808+171876.318572306)*1000/513516</f>
        <v>341.80594013254887</v>
      </c>
    </row>
    <row r="27" spans="1:7" s="68" customFormat="1">
      <c r="A27" s="277" t="s">
        <v>329</v>
      </c>
      <c r="B27" s="86">
        <f>(B25*'emissionsfaktorer variabla'!$B$9)/(B8*1000)</f>
        <v>174.006</v>
      </c>
      <c r="C27" s="86">
        <f>(C25*'emissionsfaktorer variabla'!$B$9)/(C8*1000)</f>
        <v>155.82</v>
      </c>
      <c r="D27" s="86">
        <f>(D25*'emissionsfaktorer variabla'!$B$9)/(D8*1000)</f>
        <v>207.10092157226896</v>
      </c>
    </row>
    <row r="28" spans="1:7" s="71" customFormat="1">
      <c r="A28" s="277" t="s">
        <v>332</v>
      </c>
      <c r="B28" s="86">
        <v>1494</v>
      </c>
      <c r="C28" s="185">
        <v>1494</v>
      </c>
      <c r="D28" s="185">
        <v>1494</v>
      </c>
      <c r="F28" s="68"/>
      <c r="G28" s="68"/>
    </row>
    <row r="29" spans="1:7" s="71" customFormat="1">
      <c r="A29" s="68" t="s">
        <v>333</v>
      </c>
      <c r="B29" s="86">
        <f>'Övrig konsumtion'!T61</f>
        <v>1871.841920140823</v>
      </c>
      <c r="C29" s="185">
        <f>'Övrig konsumtion'!U61</f>
        <v>1051.6295508096496</v>
      </c>
      <c r="D29" s="185">
        <f>'Övrig konsumtion'!V61</f>
        <v>1442.7434716591943</v>
      </c>
    </row>
    <row r="30" spans="1:7" s="71" customFormat="1">
      <c r="A30" s="68" t="s">
        <v>334</v>
      </c>
      <c r="B30" s="86">
        <v>1740</v>
      </c>
      <c r="C30" s="86">
        <v>1740</v>
      </c>
      <c r="D30" s="86">
        <v>1740</v>
      </c>
    </row>
    <row r="31" spans="1:7" s="68" customFormat="1">
      <c r="A31" s="68" t="s">
        <v>335</v>
      </c>
      <c r="B31" s="101">
        <f>(B19+B21+B22+B26+B27+B28+B29+B30)/1000</f>
        <v>10.043274164152235</v>
      </c>
      <c r="C31" s="101">
        <f>(C19+C21+C22+C26+C27+C28+C29+C30)/1000</f>
        <v>5.4111697730685471</v>
      </c>
      <c r="D31" s="101">
        <f t="shared" ref="D31" si="1">(D19+D21+D22+D26+D27+D28+D29+D30)/1000</f>
        <v>7.3528265234197123</v>
      </c>
    </row>
    <row r="35" spans="1:11">
      <c r="A35" s="83"/>
      <c r="B35" s="107" t="str">
        <f>B2</f>
        <v>Höginkomstfamilj</v>
      </c>
      <c r="C35" s="107" t="str">
        <f t="shared" ref="C35:D35" si="2">C2</f>
        <v>Låginkomstfamilj</v>
      </c>
      <c r="D35" s="107" t="str">
        <f t="shared" si="2"/>
        <v>Medelgöteborgaren</v>
      </c>
    </row>
    <row r="36" spans="1:11">
      <c r="A36" s="108" t="s">
        <v>185</v>
      </c>
      <c r="B36" s="199">
        <f>B30/1000</f>
        <v>1.74</v>
      </c>
      <c r="C36" s="199">
        <f t="shared" ref="C36:D36" si="3">C30/1000</f>
        <v>1.74</v>
      </c>
      <c r="D36" s="199">
        <f t="shared" si="3"/>
        <v>1.74</v>
      </c>
    </row>
    <row r="37" spans="1:11">
      <c r="A37" s="108" t="s">
        <v>377</v>
      </c>
      <c r="B37" s="199">
        <f>B28/1000</f>
        <v>1.494</v>
      </c>
      <c r="C37" s="199">
        <f t="shared" ref="C37:D37" si="4">C28/1000</f>
        <v>1.494</v>
      </c>
      <c r="D37" s="199">
        <f t="shared" si="4"/>
        <v>1.494</v>
      </c>
      <c r="E37">
        <v>1.5</v>
      </c>
      <c r="I37" s="108"/>
      <c r="J37" s="199"/>
      <c r="K37" s="107"/>
    </row>
    <row r="38" spans="1:11">
      <c r="A38" s="108" t="s">
        <v>376</v>
      </c>
      <c r="B38" s="199">
        <f>B26/1000</f>
        <v>0.45208800000000005</v>
      </c>
      <c r="C38" s="199">
        <f t="shared" ref="C38:D38" si="5">C26/1000</f>
        <v>0.33328533333333332</v>
      </c>
      <c r="D38" s="199">
        <f t="shared" si="5"/>
        <v>0.34180594013254889</v>
      </c>
      <c r="E38" s="278">
        <v>2.2000000000000002</v>
      </c>
      <c r="I38" s="108"/>
      <c r="J38" s="199"/>
      <c r="K38" s="278"/>
    </row>
    <row r="39" spans="1:11">
      <c r="A39" s="108" t="s">
        <v>428</v>
      </c>
      <c r="B39" s="199">
        <f>B27/1000</f>
        <v>0.17400599999999999</v>
      </c>
      <c r="C39" s="199">
        <f t="shared" ref="C39" si="6">C27/1000</f>
        <v>0.15581999999999999</v>
      </c>
      <c r="D39" s="199">
        <f>D27/1000</f>
        <v>0.20710092157226895</v>
      </c>
      <c r="E39" s="278"/>
      <c r="I39" s="108"/>
      <c r="J39" s="199"/>
      <c r="K39" s="278"/>
    </row>
    <row r="40" spans="1:11">
      <c r="A40" s="108" t="s">
        <v>375</v>
      </c>
      <c r="B40" s="199">
        <f>B21/1000</f>
        <v>6.4712447053100905E-2</v>
      </c>
      <c r="C40" s="199">
        <f t="shared" ref="C40:D40" si="7">C21/1000</f>
        <v>9.873699864330894E-2</v>
      </c>
      <c r="D40" s="199">
        <f t="shared" si="7"/>
        <v>3.2243393821109259E-2</v>
      </c>
      <c r="E40" s="278">
        <v>1.8</v>
      </c>
      <c r="F40" s="107"/>
      <c r="I40" s="108"/>
      <c r="J40" s="199"/>
      <c r="K40" s="278"/>
    </row>
    <row r="41" spans="1:11">
      <c r="A41" s="108" t="s">
        <v>227</v>
      </c>
      <c r="B41" s="199">
        <f>B19/1000</f>
        <v>1.8377392484938055</v>
      </c>
      <c r="C41" s="199">
        <f t="shared" ref="C41:D41" si="8">C19/1000</f>
        <v>0</v>
      </c>
      <c r="D41" s="199">
        <f t="shared" si="8"/>
        <v>1.0195370156700798</v>
      </c>
      <c r="E41" s="278"/>
      <c r="I41" s="108"/>
      <c r="J41" s="199"/>
      <c r="K41" s="278"/>
    </row>
    <row r="42" spans="1:11">
      <c r="A42" s="108" t="s">
        <v>221</v>
      </c>
      <c r="B42" s="199">
        <f>B29/1000</f>
        <v>1.871841920140823</v>
      </c>
      <c r="C42" s="199">
        <f t="shared" ref="C42:D42" si="9">C29/1000</f>
        <v>1.0516295508096496</v>
      </c>
      <c r="D42" s="199">
        <f t="shared" si="9"/>
        <v>1.4427434716591943</v>
      </c>
      <c r="E42">
        <v>1.3</v>
      </c>
      <c r="I42" s="108"/>
      <c r="J42" s="199"/>
      <c r="K42" s="107"/>
    </row>
    <row r="43" spans="1:11">
      <c r="A43" s="108" t="s">
        <v>378</v>
      </c>
      <c r="B43" s="199">
        <f>B22/1000</f>
        <v>2.4088865484645052</v>
      </c>
      <c r="C43" s="199">
        <f t="shared" ref="C43:D43" si="10">C22/1000</f>
        <v>0.53769789028225567</v>
      </c>
      <c r="D43" s="199">
        <f t="shared" si="10"/>
        <v>1.0753957805645113</v>
      </c>
      <c r="E43">
        <v>1.4</v>
      </c>
      <c r="I43" s="108"/>
      <c r="J43" s="199"/>
      <c r="K43" s="107"/>
    </row>
  </sheetData>
  <mergeCells count="4">
    <mergeCell ref="E40:E41"/>
    <mergeCell ref="E38:E39"/>
    <mergeCell ref="K38:K39"/>
    <mergeCell ref="K40:K41"/>
  </mergeCells>
  <pageMargins left="0.7" right="0.7" top="0.75" bottom="0.75" header="0.3" footer="0.3"/>
  <pageSetup paperSize="9" orientation="landscape" r:id="rId1"/>
  <drawing r:id="rId2"/>
  <legacy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K29"/>
  <sheetViews>
    <sheetView topLeftCell="A46" workbookViewId="0">
      <selection activeCell="J18" sqref="J18"/>
    </sheetView>
  </sheetViews>
  <sheetFormatPr defaultRowHeight="15"/>
  <cols>
    <col min="1" max="1" width="30.5703125" style="16" customWidth="1"/>
    <col min="2" max="2" width="12" style="16" bestFit="1" customWidth="1"/>
    <col min="3" max="3" width="17.85546875" style="16" bestFit="1" customWidth="1"/>
    <col min="4" max="4" width="15.5703125" style="16" customWidth="1"/>
    <col min="5" max="5" width="16.28515625" style="16" customWidth="1"/>
    <col min="6" max="6" width="16.5703125" style="16" customWidth="1"/>
    <col min="7" max="7" width="12" style="16" customWidth="1"/>
    <col min="8" max="8" width="15.42578125" style="16" customWidth="1"/>
    <col min="9" max="9" width="27.7109375" style="16" bestFit="1" customWidth="1"/>
    <col min="10" max="10" width="16.42578125" style="16" bestFit="1" customWidth="1"/>
    <col min="11" max="11" width="9.140625" style="16"/>
    <col min="12" max="12" width="11" style="16" bestFit="1" customWidth="1"/>
    <col min="13" max="16384" width="9.140625" style="16"/>
  </cols>
  <sheetData>
    <row r="2" spans="1:11" s="4" customFormat="1">
      <c r="A2" s="4" t="s">
        <v>210</v>
      </c>
    </row>
    <row r="4" spans="1:11">
      <c r="A4" s="108" t="s">
        <v>211</v>
      </c>
      <c r="B4" s="108"/>
      <c r="C4" s="203" t="s">
        <v>390</v>
      </c>
      <c r="D4" s="203"/>
      <c r="E4" s="108"/>
      <c r="F4" s="203" t="s">
        <v>212</v>
      </c>
      <c r="G4" s="203" t="s">
        <v>213</v>
      </c>
      <c r="H4" s="203" t="s">
        <v>214</v>
      </c>
      <c r="I4" s="203"/>
      <c r="J4" s="203" t="s">
        <v>215</v>
      </c>
      <c r="K4" s="21"/>
    </row>
    <row r="5" spans="1:11">
      <c r="C5" s="21">
        <v>0.72</v>
      </c>
      <c r="F5" s="21">
        <v>5325570821</v>
      </c>
      <c r="G5" s="22">
        <f>F5/(F5+F9+F12)</f>
        <v>0.47772657510251715</v>
      </c>
      <c r="H5" s="21">
        <v>17</v>
      </c>
      <c r="J5" s="206">
        <f>C5/H5</f>
        <v>4.2352941176470586E-2</v>
      </c>
      <c r="K5" s="21"/>
    </row>
    <row r="6" spans="1:11">
      <c r="C6" s="21"/>
      <c r="D6" s="107"/>
      <c r="E6" s="107"/>
      <c r="F6" s="21"/>
      <c r="G6" s="22"/>
      <c r="H6" s="21"/>
      <c r="I6" s="107"/>
      <c r="J6" s="206"/>
      <c r="K6" s="21"/>
    </row>
    <row r="7" spans="1:11">
      <c r="C7" s="21"/>
      <c r="D7" s="21"/>
      <c r="E7" s="21"/>
      <c r="F7" s="21"/>
      <c r="G7" s="22"/>
      <c r="H7" s="21"/>
      <c r="I7" s="21"/>
      <c r="J7" s="206"/>
      <c r="K7" s="21"/>
    </row>
    <row r="8" spans="1:11">
      <c r="A8" s="108" t="s">
        <v>391</v>
      </c>
      <c r="B8" s="108"/>
      <c r="C8" s="203" t="s">
        <v>216</v>
      </c>
      <c r="D8" s="203" t="s">
        <v>217</v>
      </c>
      <c r="E8" s="203" t="s">
        <v>218</v>
      </c>
      <c r="F8" s="203"/>
      <c r="G8" s="204"/>
      <c r="H8" s="108"/>
      <c r="I8" s="203" t="s">
        <v>219</v>
      </c>
      <c r="J8" s="207" t="s">
        <v>215</v>
      </c>
      <c r="K8" s="21"/>
    </row>
    <row r="9" spans="1:11">
      <c r="C9" s="193">
        <v>126</v>
      </c>
      <c r="D9" s="21">
        <v>65060</v>
      </c>
      <c r="E9" s="21">
        <f>C9*D9</f>
        <v>8197560</v>
      </c>
      <c r="F9" s="21">
        <v>2805341403</v>
      </c>
      <c r="G9" s="22">
        <f>F9/(F5+F9+F12)</f>
        <v>0.25165117233326534</v>
      </c>
      <c r="H9" s="21">
        <v>0.34</v>
      </c>
      <c r="I9" s="21">
        <f>F9*H9</f>
        <v>953816077.0200001</v>
      </c>
      <c r="J9" s="206">
        <f>E9/I9</f>
        <v>8.5944871317451162E-3</v>
      </c>
      <c r="K9" s="21"/>
    </row>
    <row r="10" spans="1:11" s="107" customFormat="1">
      <c r="C10" s="193"/>
      <c r="D10" s="21"/>
      <c r="E10" s="21"/>
      <c r="F10" s="21"/>
      <c r="G10" s="22"/>
      <c r="H10" s="21"/>
      <c r="I10" s="21"/>
      <c r="J10" s="206"/>
      <c r="K10" s="21"/>
    </row>
    <row r="11" spans="1:11">
      <c r="A11" s="108" t="s">
        <v>392</v>
      </c>
      <c r="C11" s="208" t="s">
        <v>216</v>
      </c>
      <c r="D11" s="203" t="s">
        <v>217</v>
      </c>
      <c r="E11" s="203" t="s">
        <v>218</v>
      </c>
      <c r="F11" s="203"/>
      <c r="G11" s="204"/>
      <c r="H11" s="108"/>
      <c r="I11" s="203" t="s">
        <v>219</v>
      </c>
      <c r="J11" s="207" t="s">
        <v>215</v>
      </c>
      <c r="K11" s="21"/>
    </row>
    <row r="12" spans="1:11">
      <c r="C12" s="193">
        <v>126</v>
      </c>
      <c r="D12" s="21">
        <v>72674</v>
      </c>
      <c r="E12" s="21">
        <f>C12*D12</f>
        <v>9156924</v>
      </c>
      <c r="F12" s="21">
        <v>3016826040</v>
      </c>
      <c r="G12" s="22">
        <f>F12/(F5+F9+F12)</f>
        <v>0.27062225256421751</v>
      </c>
      <c r="H12" s="21">
        <v>0.34</v>
      </c>
      <c r="I12" s="21">
        <f>F12*H9</f>
        <v>1025720853.6</v>
      </c>
      <c r="J12" s="206">
        <f t="shared" ref="J12" si="0">E12/I12</f>
        <v>8.9273060675930469E-3</v>
      </c>
    </row>
    <row r="13" spans="1:11">
      <c r="G13" s="22">
        <f>SUM(G5:G12)</f>
        <v>1</v>
      </c>
    </row>
    <row r="15" spans="1:11">
      <c r="I15" s="16" t="s">
        <v>220</v>
      </c>
      <c r="J15" s="225">
        <f>G5*J5+G9*J9+G12*J12</f>
        <v>2.4811865973402725E-2</v>
      </c>
    </row>
    <row r="16" spans="1:11">
      <c r="I16" s="107" t="s">
        <v>368</v>
      </c>
      <c r="J16" s="225">
        <f>J15*0.996^20</f>
        <v>2.2900564878994119E-2</v>
      </c>
    </row>
    <row r="17" spans="1:10">
      <c r="I17" s="107" t="s">
        <v>369</v>
      </c>
      <c r="J17" s="225">
        <f>J15*0.996^40</f>
        <v>2.1136494624757043E-2</v>
      </c>
    </row>
    <row r="18" spans="1:10">
      <c r="I18" s="16" t="s">
        <v>393</v>
      </c>
      <c r="J18" s="205">
        <f>J15*0.1</f>
        <v>2.4811865973402725E-3</v>
      </c>
    </row>
    <row r="19" spans="1:10">
      <c r="I19" s="16" t="s">
        <v>394</v>
      </c>
      <c r="J19" s="205">
        <f>J15*0.05</f>
        <v>1.2405932986701363E-3</v>
      </c>
    </row>
    <row r="21" spans="1:10">
      <c r="A21" t="s">
        <v>223</v>
      </c>
      <c r="B21">
        <v>1600447</v>
      </c>
    </row>
    <row r="22" spans="1:10">
      <c r="A22"/>
      <c r="B22" s="107"/>
    </row>
    <row r="23" spans="1:10">
      <c r="A23" t="s">
        <v>264</v>
      </c>
      <c r="B23" s="107">
        <v>2079805000</v>
      </c>
    </row>
    <row r="24" spans="1:10">
      <c r="A24"/>
      <c r="B24" s="107"/>
    </row>
    <row r="25" spans="1:10">
      <c r="A25" t="s">
        <v>265</v>
      </c>
      <c r="B25" s="107">
        <f>B23/B21</f>
        <v>1299.5150729764871</v>
      </c>
    </row>
    <row r="26" spans="1:10">
      <c r="A26"/>
      <c r="B26" s="107"/>
    </row>
    <row r="27" spans="1:10">
      <c r="B27" s="107"/>
    </row>
    <row r="28" spans="1:10">
      <c r="B28" s="107"/>
    </row>
    <row r="29" spans="1:10">
      <c r="B29" s="107"/>
    </row>
  </sheetData>
  <pageMargins left="0.7" right="0.7" top="0.75" bottom="0.75" header="0.3" footer="0.3"/>
  <pageSetup paperSize="9" orientation="landscape" r:id="rId1"/>
  <drawing r:id="rId2"/>
  <legacy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zoomScaleNormal="100" workbookViewId="0">
      <selection activeCell="B10" sqref="B10"/>
    </sheetView>
  </sheetViews>
  <sheetFormatPr defaultRowHeight="15"/>
  <cols>
    <col min="1" max="1" width="9.140625" style="3"/>
    <col min="2" max="2" width="15.140625" style="3" customWidth="1"/>
    <col min="3" max="3" width="29.42578125" style="3" customWidth="1"/>
    <col min="4" max="4" width="31" style="3" customWidth="1"/>
    <col min="5" max="5" width="9.140625" style="3"/>
    <col min="6" max="6" width="155.85546875" style="3" customWidth="1"/>
    <col min="7" max="16384" width="9.140625" style="3"/>
  </cols>
  <sheetData>
    <row r="1" spans="1:6" ht="18.75">
      <c r="A1" s="7" t="s">
        <v>186</v>
      </c>
      <c r="B1" s="7"/>
      <c r="C1" s="7"/>
      <c r="D1" s="7"/>
      <c r="F1" s="7" t="s">
        <v>187</v>
      </c>
    </row>
    <row r="2" spans="1:6">
      <c r="B2" s="3" t="s">
        <v>188</v>
      </c>
      <c r="C2" s="3" t="s">
        <v>382</v>
      </c>
      <c r="D2" s="3" t="s">
        <v>383</v>
      </c>
    </row>
    <row r="3" spans="1:6">
      <c r="A3" s="3">
        <v>2010</v>
      </c>
      <c r="B3" s="8">
        <v>92</v>
      </c>
      <c r="C3" s="3" t="s">
        <v>189</v>
      </c>
      <c r="D3" s="3" t="s">
        <v>189</v>
      </c>
      <c r="F3" s="8" t="s">
        <v>190</v>
      </c>
    </row>
    <row r="4" spans="1:6">
      <c r="A4" s="3">
        <v>2050</v>
      </c>
      <c r="B4" s="8">
        <v>92</v>
      </c>
      <c r="C4" s="9">
        <v>67</v>
      </c>
      <c r="D4" s="10">
        <v>1</v>
      </c>
      <c r="F4" s="11" t="s">
        <v>191</v>
      </c>
    </row>
    <row r="5" spans="1:6">
      <c r="B5" s="8"/>
      <c r="F5" s="9" t="s">
        <v>192</v>
      </c>
    </row>
    <row r="6" spans="1:6">
      <c r="F6" s="10" t="s">
        <v>365</v>
      </c>
    </row>
    <row r="7" spans="1:6" ht="18.75">
      <c r="A7" s="7" t="s">
        <v>380</v>
      </c>
      <c r="B7" s="7"/>
      <c r="C7" s="7"/>
      <c r="D7" s="7"/>
    </row>
    <row r="8" spans="1:6">
      <c r="B8" s="3" t="s">
        <v>188</v>
      </c>
      <c r="C8" s="3" t="s">
        <v>382</v>
      </c>
      <c r="D8" s="3" t="s">
        <v>383</v>
      </c>
    </row>
    <row r="9" spans="1:6">
      <c r="A9" s="3">
        <v>2010</v>
      </c>
      <c r="B9" s="200">
        <v>126</v>
      </c>
      <c r="C9" s="193" t="s">
        <v>189</v>
      </c>
      <c r="D9" s="193" t="s">
        <v>189</v>
      </c>
    </row>
    <row r="10" spans="1:6">
      <c r="A10" s="3">
        <v>2050</v>
      </c>
      <c r="B10" s="200">
        <v>125.5</v>
      </c>
      <c r="C10" s="193">
        <f>B10*(C18/B18)</f>
        <v>43.257660796848647</v>
      </c>
      <c r="D10" s="193">
        <f>B10*(D18/B18)</f>
        <v>43.257660796848647</v>
      </c>
      <c r="F10" s="12" t="s">
        <v>336</v>
      </c>
    </row>
    <row r="11" spans="1:6">
      <c r="F11" s="14" t="s">
        <v>193</v>
      </c>
    </row>
    <row r="12" spans="1:6">
      <c r="F12" s="13" t="s">
        <v>366</v>
      </c>
    </row>
    <row r="13" spans="1:6" ht="18.75">
      <c r="A13" s="7"/>
      <c r="B13" s="7"/>
      <c r="C13" s="7"/>
      <c r="D13" s="7"/>
      <c r="F13" s="195" t="s">
        <v>367</v>
      </c>
    </row>
    <row r="14" spans="1:6">
      <c r="F14" s="81" t="s">
        <v>388</v>
      </c>
    </row>
    <row r="15" spans="1:6" ht="18.75">
      <c r="A15" s="7" t="s">
        <v>381</v>
      </c>
      <c r="B15" s="7"/>
      <c r="C15" s="7"/>
      <c r="D15" s="7"/>
      <c r="F15" s="240" t="s">
        <v>424</v>
      </c>
    </row>
    <row r="16" spans="1:6">
      <c r="A16" s="107"/>
      <c r="B16" s="107" t="s">
        <v>188</v>
      </c>
      <c r="C16" s="107" t="s">
        <v>382</v>
      </c>
      <c r="D16" s="107" t="s">
        <v>383</v>
      </c>
      <c r="F16" s="3" t="s">
        <v>425</v>
      </c>
    </row>
    <row r="17" spans="1:5">
      <c r="A17" s="107">
        <v>2010</v>
      </c>
      <c r="B17" s="197">
        <v>410</v>
      </c>
      <c r="C17" s="193" t="s">
        <v>189</v>
      </c>
      <c r="D17" s="193" t="s">
        <v>189</v>
      </c>
    </row>
    <row r="18" spans="1:5">
      <c r="A18" s="107">
        <v>2050</v>
      </c>
      <c r="B18" s="197">
        <f t="shared" ref="B18" si="0">376*1.09</f>
        <v>409.84000000000003</v>
      </c>
      <c r="C18" s="198">
        <f>(553300/(4620421*0.924))*1000*1.09</f>
        <v>141.26469881259325</v>
      </c>
      <c r="D18" s="198">
        <f>(553300/(4620421*0.924))*1000*1.09</f>
        <v>141.26469881259325</v>
      </c>
    </row>
    <row r="22" spans="1:5">
      <c r="D22" s="107"/>
    </row>
    <row r="23" spans="1:5">
      <c r="C23" s="107"/>
      <c r="D23" s="107"/>
    </row>
    <row r="26" spans="1:5">
      <c r="E26" s="3">
        <f>(B18-D18)/B18</f>
        <v>0.65531744384981161</v>
      </c>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workbookViewId="0">
      <selection activeCell="F46" sqref="F46"/>
    </sheetView>
  </sheetViews>
  <sheetFormatPr defaultRowHeight="15"/>
  <cols>
    <col min="1" max="1" width="32" bestFit="1" customWidth="1"/>
    <col min="2" max="2" width="16.85546875" customWidth="1"/>
    <col min="3" max="3" width="14.28515625" customWidth="1"/>
    <col min="4" max="4" width="14.7109375" customWidth="1"/>
    <col min="5" max="5" width="35.42578125" bestFit="1" customWidth="1"/>
  </cols>
  <sheetData>
    <row r="1" spans="1:5" s="17" customFormat="1" ht="21">
      <c r="A1" s="17" t="s">
        <v>195</v>
      </c>
    </row>
    <row r="2" spans="1:5">
      <c r="A2" t="s">
        <v>196</v>
      </c>
    </row>
    <row r="4" spans="1:5" ht="30">
      <c r="A4" s="18"/>
      <c r="B4" s="20" t="s">
        <v>206</v>
      </c>
      <c r="C4" s="20" t="s">
        <v>208</v>
      </c>
      <c r="D4" s="20" t="s">
        <v>207</v>
      </c>
      <c r="E4" s="20" t="s">
        <v>209</v>
      </c>
    </row>
    <row r="5" spans="1:5">
      <c r="A5" s="18" t="s">
        <v>197</v>
      </c>
      <c r="B5" s="19">
        <v>288.49804200000005</v>
      </c>
      <c r="C5" s="19"/>
      <c r="D5" s="19"/>
      <c r="E5" s="19">
        <v>1.08837276355421</v>
      </c>
    </row>
    <row r="6" spans="1:5">
      <c r="A6" s="18" t="s">
        <v>198</v>
      </c>
      <c r="B6" s="19">
        <v>279.225144</v>
      </c>
      <c r="C6" s="19"/>
      <c r="D6" s="19"/>
      <c r="E6" s="19">
        <v>1.1043864462788264</v>
      </c>
    </row>
    <row r="7" spans="1:5">
      <c r="A7" s="18" t="s">
        <v>199</v>
      </c>
      <c r="B7" s="19">
        <v>285.20990640000002</v>
      </c>
      <c r="C7" s="19"/>
      <c r="D7" s="19"/>
      <c r="E7" s="19">
        <v>1.0896321450184301</v>
      </c>
    </row>
    <row r="8" spans="1:5">
      <c r="A8" s="18" t="s">
        <v>200</v>
      </c>
      <c r="B8" s="19">
        <v>280.21284000000003</v>
      </c>
      <c r="C8" s="19"/>
      <c r="D8" s="19"/>
      <c r="E8" s="19">
        <v>1.1008216892006562</v>
      </c>
    </row>
    <row r="9" spans="1:5" s="15" customFormat="1">
      <c r="A9" s="18" t="s">
        <v>203</v>
      </c>
      <c r="B9" s="19">
        <v>125.08127999999999</v>
      </c>
      <c r="C9" s="19"/>
      <c r="D9" s="19"/>
      <c r="E9" s="19">
        <v>1.9302666666666668</v>
      </c>
    </row>
    <row r="10" spans="1:5">
      <c r="A10" s="18" t="s">
        <v>201</v>
      </c>
      <c r="B10" s="19"/>
      <c r="C10" s="19"/>
      <c r="D10" s="19"/>
      <c r="E10" s="19"/>
    </row>
    <row r="11" spans="1:5">
      <c r="A11" s="18" t="s">
        <v>194</v>
      </c>
      <c r="B11" s="19"/>
      <c r="C11" s="19">
        <v>245.17800000289043</v>
      </c>
      <c r="D11" s="19"/>
      <c r="E11" s="19">
        <v>1.1990316901549807</v>
      </c>
    </row>
    <row r="12" spans="1:5">
      <c r="A12" s="18" t="s">
        <v>202</v>
      </c>
      <c r="B12" s="19"/>
      <c r="C12" s="19">
        <v>289.59986160000005</v>
      </c>
      <c r="D12" s="19"/>
      <c r="E12" s="19">
        <v>1.0796892372528755</v>
      </c>
    </row>
    <row r="13" spans="1:5">
      <c r="A13" s="18" t="s">
        <v>204</v>
      </c>
      <c r="B13" s="19"/>
      <c r="C13" s="19">
        <v>4.1266299999999996</v>
      </c>
      <c r="D13" s="19">
        <v>5.5739999999999998</v>
      </c>
      <c r="E13" s="19"/>
    </row>
    <row r="14" spans="1:5">
      <c r="A14" s="18" t="s">
        <v>205</v>
      </c>
      <c r="B14" s="19"/>
      <c r="C14" s="19">
        <v>9.4397760000000002</v>
      </c>
      <c r="D14" s="19"/>
      <c r="E14" s="19">
        <v>11.082671174978865</v>
      </c>
    </row>
    <row r="15" spans="1:5">
      <c r="A15" s="18" t="s">
        <v>347</v>
      </c>
      <c r="B15" s="19">
        <v>39.4848</v>
      </c>
      <c r="C15" s="18"/>
      <c r="D15" s="18"/>
      <c r="E15" s="18"/>
    </row>
    <row r="16" spans="1:5">
      <c r="A16" s="16"/>
      <c r="B16" s="16"/>
      <c r="C16" s="16"/>
      <c r="D16" s="16"/>
      <c r="E16" s="16"/>
    </row>
    <row r="17" spans="1:5">
      <c r="A17" s="16"/>
      <c r="B17" s="16"/>
      <c r="C17" s="16"/>
      <c r="D17" s="16"/>
      <c r="E17" s="16"/>
    </row>
    <row r="18" spans="1:5">
      <c r="A18" s="16"/>
      <c r="B18" s="16"/>
      <c r="C18" s="16"/>
      <c r="D18" s="16"/>
      <c r="E18" s="16"/>
    </row>
    <row r="19" spans="1:5">
      <c r="A19" s="16"/>
      <c r="B19" s="16"/>
      <c r="C19" s="16"/>
      <c r="D19" s="16"/>
      <c r="E19" s="16"/>
    </row>
    <row r="20" spans="1:5">
      <c r="A20" s="16"/>
      <c r="B20" s="16"/>
      <c r="C20" s="16"/>
      <c r="D20" s="16"/>
      <c r="E20" s="16"/>
    </row>
    <row r="21" spans="1:5">
      <c r="A21" s="16"/>
      <c r="B21" s="16"/>
      <c r="C21" s="16"/>
      <c r="D21" s="16"/>
      <c r="E21" s="16"/>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0"/>
  <sheetViews>
    <sheetView workbookViewId="0">
      <selection activeCell="G67" sqref="G67"/>
    </sheetView>
  </sheetViews>
  <sheetFormatPr defaultRowHeight="15"/>
  <cols>
    <col min="1" max="1" width="26.7109375" style="16" customWidth="1"/>
    <col min="2" max="2" width="10.5703125" style="16" bestFit="1" customWidth="1"/>
    <col min="3" max="3" width="9.28515625" style="16" bestFit="1" customWidth="1"/>
    <col min="4" max="4" width="9.5703125" style="16" bestFit="1" customWidth="1"/>
    <col min="5" max="5" width="9.28515625" style="16" bestFit="1" customWidth="1"/>
    <col min="6" max="6" width="10.5703125" style="16" bestFit="1" customWidth="1"/>
    <col min="7" max="7" width="9.28515625" style="16" bestFit="1" customWidth="1"/>
    <col min="8" max="8" width="10.5703125" style="16" bestFit="1" customWidth="1"/>
    <col min="9" max="9" width="9.28515625" style="16" bestFit="1" customWidth="1"/>
    <col min="10" max="10" width="25.5703125" style="16" bestFit="1" customWidth="1"/>
    <col min="11" max="11" width="9.28515625" style="16" bestFit="1" customWidth="1"/>
    <col min="12" max="12" width="11.5703125" style="16" bestFit="1" customWidth="1"/>
    <col min="13" max="13" width="9.28515625" style="16" bestFit="1" customWidth="1"/>
    <col min="14" max="16384" width="9.140625" style="16"/>
  </cols>
  <sheetData>
    <row r="1" spans="1:12" ht="60">
      <c r="A1" s="24" t="s">
        <v>225</v>
      </c>
      <c r="B1" s="25" t="s">
        <v>226</v>
      </c>
      <c r="C1" s="25"/>
      <c r="D1" s="25"/>
      <c r="E1" s="25"/>
      <c r="F1" s="25"/>
      <c r="G1" s="26"/>
    </row>
    <row r="2" spans="1:12">
      <c r="A2" s="27"/>
      <c r="B2" s="28" t="s">
        <v>227</v>
      </c>
      <c r="C2" s="28" t="s">
        <v>228</v>
      </c>
      <c r="D2" s="28" t="s">
        <v>229</v>
      </c>
      <c r="E2" s="28" t="s">
        <v>230</v>
      </c>
      <c r="F2" s="28" t="s">
        <v>231</v>
      </c>
      <c r="G2" s="29" t="s">
        <v>232</v>
      </c>
      <c r="J2" s="41" t="s">
        <v>256</v>
      </c>
      <c r="K2" s="16">
        <v>3.5</v>
      </c>
    </row>
    <row r="3" spans="1:12">
      <c r="A3" s="27"/>
      <c r="B3" s="30" t="s">
        <v>233</v>
      </c>
      <c r="C3" s="30" t="s">
        <v>233</v>
      </c>
      <c r="D3" s="30" t="s">
        <v>233</v>
      </c>
      <c r="E3" s="30" t="s">
        <v>233</v>
      </c>
      <c r="F3" s="30" t="s">
        <v>233</v>
      </c>
      <c r="G3" s="31" t="s">
        <v>233</v>
      </c>
      <c r="J3" s="42" t="s">
        <v>257</v>
      </c>
      <c r="K3" s="16">
        <v>3.6</v>
      </c>
    </row>
    <row r="4" spans="1:12">
      <c r="A4" s="27" t="s">
        <v>234</v>
      </c>
      <c r="B4" s="32">
        <v>0.71453412283672102</v>
      </c>
      <c r="C4" s="32">
        <v>2.4225063376865842E-2</v>
      </c>
      <c r="D4" s="32">
        <v>7.8431731446822917E-2</v>
      </c>
      <c r="E4" s="32">
        <v>0.14018871205395958</v>
      </c>
      <c r="F4" s="32">
        <v>4.2602066497661691E-2</v>
      </c>
      <c r="G4" s="33">
        <v>0.99998169621203103</v>
      </c>
    </row>
    <row r="5" spans="1:12">
      <c r="A5" s="27" t="s">
        <v>235</v>
      </c>
      <c r="B5" s="32">
        <v>0.68162690176514273</v>
      </c>
      <c r="C5" s="32">
        <v>2.2487956280823354E-2</v>
      </c>
      <c r="D5" s="32">
        <v>0.1120208694327551</v>
      </c>
      <c r="E5" s="32">
        <v>0.15789173029685627</v>
      </c>
      <c r="F5" s="32">
        <v>2.5972542224422569E-2</v>
      </c>
      <c r="G5" s="33">
        <v>1</v>
      </c>
      <c r="J5" s="4" t="s">
        <v>259</v>
      </c>
    </row>
    <row r="6" spans="1:12">
      <c r="A6" s="27" t="s">
        <v>236</v>
      </c>
      <c r="B6" s="32">
        <v>0.60107627070299874</v>
      </c>
      <c r="C6" s="32">
        <v>1.9661906482344216E-2</v>
      </c>
      <c r="D6" s="32">
        <v>0.14592405255851984</v>
      </c>
      <c r="E6" s="32">
        <v>0.18673106543193443</v>
      </c>
      <c r="F6" s="32">
        <v>4.6606704824202781E-2</v>
      </c>
      <c r="G6" s="33">
        <v>1</v>
      </c>
      <c r="J6" s="16" t="s">
        <v>260</v>
      </c>
      <c r="K6" s="16">
        <v>19</v>
      </c>
      <c r="L6" s="16" t="s">
        <v>222</v>
      </c>
    </row>
    <row r="7" spans="1:12">
      <c r="A7" s="27" t="s">
        <v>237</v>
      </c>
      <c r="B7" s="32">
        <v>0.59089156626506023</v>
      </c>
      <c r="C7" s="32">
        <v>6.0722891566265064E-2</v>
      </c>
      <c r="D7" s="32">
        <v>6.7325301204819277E-2</v>
      </c>
      <c r="E7" s="32">
        <v>0.16597590361445783</v>
      </c>
      <c r="F7" s="32">
        <v>0.11508433734939759</v>
      </c>
      <c r="G7" s="33">
        <v>1</v>
      </c>
      <c r="J7" s="16" t="s">
        <v>224</v>
      </c>
      <c r="K7" s="16">
        <v>16</v>
      </c>
      <c r="L7" s="16" t="s">
        <v>222</v>
      </c>
    </row>
    <row r="8" spans="1:12">
      <c r="A8" s="27" t="s">
        <v>238</v>
      </c>
      <c r="B8" s="32">
        <v>0.72820889162444957</v>
      </c>
      <c r="C8" s="32">
        <v>3.0680365512996542E-2</v>
      </c>
      <c r="D8" s="32">
        <v>7.2865868093366787E-2</v>
      </c>
      <c r="E8" s="32">
        <v>0.13664125751621609</v>
      </c>
      <c r="F8" s="32">
        <v>3.1603617252970978E-2</v>
      </c>
      <c r="G8" s="33">
        <v>1</v>
      </c>
    </row>
    <row r="9" spans="1:12">
      <c r="A9" s="27" t="s">
        <v>239</v>
      </c>
      <c r="B9" s="32">
        <v>0.75674748398902103</v>
      </c>
      <c r="C9" s="32">
        <v>9.8353156450137237E-3</v>
      </c>
      <c r="D9" s="32">
        <v>5.5580969807868252E-2</v>
      </c>
      <c r="E9" s="32">
        <v>0.13266239707227814</v>
      </c>
      <c r="F9" s="32">
        <v>4.5173833485818847E-2</v>
      </c>
      <c r="G9" s="33">
        <v>1</v>
      </c>
      <c r="J9" s="4" t="s">
        <v>261</v>
      </c>
    </row>
    <row r="10" spans="1:12">
      <c r="A10" s="27" t="s">
        <v>240</v>
      </c>
      <c r="B10" s="32">
        <v>0.75913247254514538</v>
      </c>
      <c r="C10" s="32">
        <v>8.3168680788494233E-3</v>
      </c>
      <c r="D10" s="32">
        <v>4.3606120479713274E-2</v>
      </c>
      <c r="E10" s="32">
        <v>0.14111106005605845</v>
      </c>
      <c r="F10" s="32">
        <v>4.7879428387630381E-2</v>
      </c>
      <c r="G10" s="33">
        <v>1.000045949547397</v>
      </c>
      <c r="J10" s="16" t="s">
        <v>260</v>
      </c>
      <c r="K10" s="16">
        <v>26</v>
      </c>
      <c r="L10" s="16" t="s">
        <v>222</v>
      </c>
    </row>
    <row r="11" spans="1:12">
      <c r="A11" s="27" t="s">
        <v>241</v>
      </c>
      <c r="B11" s="32">
        <v>0.66116664384499524</v>
      </c>
      <c r="C11" s="32">
        <v>1.8508375553425532E-2</v>
      </c>
      <c r="D11" s="32">
        <v>0.12606691314071844</v>
      </c>
      <c r="E11" s="32">
        <v>0.16983887899949793</v>
      </c>
      <c r="F11" s="32">
        <v>2.4442010132822128E-2</v>
      </c>
      <c r="G11" s="33">
        <v>1.0000228216714593</v>
      </c>
      <c r="J11" s="16" t="s">
        <v>224</v>
      </c>
      <c r="K11" s="16">
        <v>18</v>
      </c>
      <c r="L11" s="16" t="s">
        <v>222</v>
      </c>
    </row>
    <row r="12" spans="1:12">
      <c r="A12" s="27" t="s">
        <v>242</v>
      </c>
      <c r="B12" s="32">
        <v>0.67200042717548014</v>
      </c>
      <c r="C12" s="32">
        <v>2.6805261377996902E-2</v>
      </c>
      <c r="D12" s="32">
        <v>0.13342114162647065</v>
      </c>
      <c r="E12" s="32">
        <v>0.12697791146788173</v>
      </c>
      <c r="F12" s="32">
        <v>4.077745937383194E-2</v>
      </c>
      <c r="G12" s="33">
        <v>0.99998220102166135</v>
      </c>
    </row>
    <row r="13" spans="1:12">
      <c r="A13" s="27" t="s">
        <v>243</v>
      </c>
      <c r="B13" s="32">
        <v>0.68066965397062484</v>
      </c>
      <c r="C13" s="32">
        <v>0.10611152601443864</v>
      </c>
      <c r="D13" s="32">
        <v>3.5474234503360715E-2</v>
      </c>
      <c r="E13" s="32">
        <v>0.16753796365446852</v>
      </c>
      <c r="F13" s="32">
        <v>1.0206621857107294E-2</v>
      </c>
      <c r="G13" s="33">
        <v>1</v>
      </c>
    </row>
    <row r="14" spans="1:12">
      <c r="A14" s="27" t="s">
        <v>244</v>
      </c>
      <c r="B14" s="32">
        <v>0.75613843351548271</v>
      </c>
      <c r="C14" s="32">
        <v>2.994535519125683E-2</v>
      </c>
      <c r="D14" s="32">
        <v>6.2586520947176691E-2</v>
      </c>
      <c r="E14" s="32">
        <v>0.12531876138433515</v>
      </c>
      <c r="F14" s="32">
        <v>2.6010928961748635E-2</v>
      </c>
      <c r="G14" s="33">
        <v>1</v>
      </c>
    </row>
    <row r="15" spans="1:12">
      <c r="A15" s="27" t="s">
        <v>245</v>
      </c>
      <c r="B15" s="32">
        <v>0.74348724098874008</v>
      </c>
      <c r="C15" s="32">
        <v>1.0260510360450396E-2</v>
      </c>
      <c r="D15" s="32">
        <v>6.6693317342927577E-2</v>
      </c>
      <c r="E15" s="32">
        <v>0.12412552468518889</v>
      </c>
      <c r="F15" s="32">
        <v>5.5366779932040776E-2</v>
      </c>
      <c r="G15" s="33">
        <v>0.99993337330934773</v>
      </c>
    </row>
    <row r="16" spans="1:12">
      <c r="A16" s="27" t="s">
        <v>246</v>
      </c>
      <c r="B16" s="32">
        <v>0.79493758668515946</v>
      </c>
      <c r="C16" s="32">
        <v>1.7128987517337033E-2</v>
      </c>
      <c r="D16" s="32">
        <v>3.8488210818307902E-2</v>
      </c>
      <c r="E16" s="32">
        <v>0.13941285251964863</v>
      </c>
      <c r="F16" s="32">
        <v>1.0032362459546926E-2</v>
      </c>
      <c r="G16" s="33">
        <v>1</v>
      </c>
    </row>
    <row r="17" spans="1:7">
      <c r="A17" s="27" t="s">
        <v>13</v>
      </c>
      <c r="B17" s="30">
        <v>0.41696402364624746</v>
      </c>
      <c r="C17" s="30">
        <v>5.8437620529639071E-2</v>
      </c>
      <c r="D17" s="30">
        <v>0.2470072263203984</v>
      </c>
      <c r="E17" s="30">
        <v>0.23524959793131719</v>
      </c>
      <c r="F17" s="30">
        <v>4.2342744449268999E-2</v>
      </c>
      <c r="G17" s="31">
        <v>1.0000012128768712</v>
      </c>
    </row>
    <row r="18" spans="1:7">
      <c r="A18" s="27" t="s">
        <v>247</v>
      </c>
      <c r="B18" s="32">
        <v>0.61435251474401975</v>
      </c>
      <c r="C18" s="32">
        <v>6.3061349140391104E-2</v>
      </c>
      <c r="D18" s="32">
        <v>0.12209750578245937</v>
      </c>
      <c r="E18" s="32">
        <v>0.17087042284547066</v>
      </c>
      <c r="F18" s="32">
        <v>2.9608194570996584E-2</v>
      </c>
      <c r="G18" s="33">
        <v>0.99998998708333742</v>
      </c>
    </row>
    <row r="19" spans="1:7">
      <c r="A19" s="27" t="s">
        <v>248</v>
      </c>
      <c r="B19" s="32">
        <v>0.68331482950039646</v>
      </c>
      <c r="C19" s="32">
        <v>3.2751784298176052E-2</v>
      </c>
      <c r="D19" s="32">
        <v>6.4314036478984926E-2</v>
      </c>
      <c r="E19" s="32">
        <v>0.18778747026169706</v>
      </c>
      <c r="F19" s="32">
        <v>3.1831879460745442E-2</v>
      </c>
      <c r="G19" s="33">
        <v>0.99999999999999989</v>
      </c>
    </row>
    <row r="20" spans="1:7">
      <c r="A20" s="27" t="s">
        <v>14</v>
      </c>
      <c r="B20" s="32">
        <v>0.61641998609317572</v>
      </c>
      <c r="C20" s="32">
        <v>0.103208503029701</v>
      </c>
      <c r="D20" s="32">
        <v>5.9236449124201188E-2</v>
      </c>
      <c r="E20" s="32">
        <v>0.21191351279758949</v>
      </c>
      <c r="F20" s="32">
        <v>9.2215489553326042E-3</v>
      </c>
      <c r="G20" s="33">
        <v>1</v>
      </c>
    </row>
    <row r="21" spans="1:7">
      <c r="A21" s="27" t="s">
        <v>249</v>
      </c>
      <c r="B21" s="32">
        <v>0.70430291677816426</v>
      </c>
      <c r="C21" s="32">
        <v>1.3336901257693337E-2</v>
      </c>
      <c r="D21" s="32">
        <v>8.7032378913567035E-2</v>
      </c>
      <c r="E21" s="32">
        <v>0.18966015520470966</v>
      </c>
      <c r="F21" s="32">
        <v>5.6676478458656679E-3</v>
      </c>
      <c r="G21" s="33">
        <v>1</v>
      </c>
    </row>
    <row r="22" spans="1:7">
      <c r="A22" s="34" t="s">
        <v>232</v>
      </c>
      <c r="B22" s="35">
        <v>0.55804933635836307</v>
      </c>
      <c r="C22" s="35">
        <v>4.488176183954757E-2</v>
      </c>
      <c r="D22" s="35">
        <v>0.16353237433941886</v>
      </c>
      <c r="E22" s="35">
        <v>0.19860681592739929</v>
      </c>
      <c r="F22" s="35">
        <v>3.4930283590815535E-2</v>
      </c>
      <c r="G22" s="36">
        <v>1.0000005720555445</v>
      </c>
    </row>
    <row r="24" spans="1:7" ht="60">
      <c r="A24" s="24" t="s">
        <v>250</v>
      </c>
      <c r="B24" s="25" t="s">
        <v>226</v>
      </c>
      <c r="C24" s="25"/>
      <c r="D24" s="25"/>
      <c r="E24" s="25"/>
      <c r="F24" s="25"/>
      <c r="G24" s="26"/>
    </row>
    <row r="25" spans="1:7">
      <c r="A25" s="27"/>
      <c r="B25" s="28" t="s">
        <v>227</v>
      </c>
      <c r="C25" s="28" t="s">
        <v>228</v>
      </c>
      <c r="D25" s="28" t="s">
        <v>229</v>
      </c>
      <c r="E25" s="28" t="s">
        <v>230</v>
      </c>
      <c r="F25" s="28" t="s">
        <v>231</v>
      </c>
      <c r="G25" s="29" t="s">
        <v>232</v>
      </c>
    </row>
    <row r="26" spans="1:7">
      <c r="A26" s="27"/>
      <c r="B26" s="28" t="s">
        <v>233</v>
      </c>
      <c r="C26" s="28" t="s">
        <v>233</v>
      </c>
      <c r="D26" s="28" t="s">
        <v>233</v>
      </c>
      <c r="E26" s="28" t="s">
        <v>233</v>
      </c>
      <c r="F26" s="28" t="s">
        <v>233</v>
      </c>
      <c r="G26" s="29" t="s">
        <v>233</v>
      </c>
    </row>
    <row r="27" spans="1:7">
      <c r="A27" s="27" t="s">
        <v>251</v>
      </c>
      <c r="B27" s="32">
        <v>0.24251216014711277</v>
      </c>
      <c r="C27" s="32">
        <v>8.4075328597902885E-2</v>
      </c>
      <c r="D27" s="32">
        <v>0.26361674455830442</v>
      </c>
      <c r="E27" s="32">
        <v>0.38221212251139791</v>
      </c>
      <c r="F27" s="32">
        <v>2.7583644185282055E-2</v>
      </c>
      <c r="G27" s="33">
        <v>1</v>
      </c>
    </row>
    <row r="28" spans="1:7">
      <c r="A28" s="27" t="s">
        <v>252</v>
      </c>
      <c r="B28" s="32">
        <v>0.48855741081346038</v>
      </c>
      <c r="C28" s="32">
        <v>4.0113144249924675E-2</v>
      </c>
      <c r="D28" s="32">
        <v>0.25188086576037344</v>
      </c>
      <c r="E28" s="32">
        <v>0.18076547751280517</v>
      </c>
      <c r="F28" s="32">
        <v>3.8683101663436331E-2</v>
      </c>
      <c r="G28" s="33">
        <v>1</v>
      </c>
    </row>
    <row r="29" spans="1:7">
      <c r="A29" s="27" t="s">
        <v>253</v>
      </c>
      <c r="B29" s="32">
        <v>0.46071416956648997</v>
      </c>
      <c r="C29" s="32">
        <v>3.3708413281732741E-2</v>
      </c>
      <c r="D29" s="32">
        <v>0.30332693746138084</v>
      </c>
      <c r="E29" s="32">
        <v>0.18864028098474747</v>
      </c>
      <c r="F29" s="32">
        <v>1.3610198705648965E-2</v>
      </c>
      <c r="G29" s="33">
        <v>1</v>
      </c>
    </row>
    <row r="30" spans="1:7">
      <c r="A30" s="27" t="s">
        <v>254</v>
      </c>
      <c r="B30" s="32">
        <v>0.36607676142019691</v>
      </c>
      <c r="C30" s="32">
        <v>0.1056077867492534</v>
      </c>
      <c r="D30" s="32">
        <v>0.29491206724919811</v>
      </c>
      <c r="E30" s="32">
        <v>0.22537329941378167</v>
      </c>
      <c r="F30" s="32">
        <v>8.030085167569959E-3</v>
      </c>
      <c r="G30" s="33">
        <v>1</v>
      </c>
    </row>
    <row r="31" spans="1:7">
      <c r="A31" s="34" t="s">
        <v>255</v>
      </c>
      <c r="B31" s="37">
        <v>0.57408954277457003</v>
      </c>
      <c r="C31" s="37">
        <v>4.828334684868698E-2</v>
      </c>
      <c r="D31" s="37">
        <v>0.17277499679899519</v>
      </c>
      <c r="E31" s="37">
        <v>0.18164635298851906</v>
      </c>
      <c r="F31" s="37">
        <v>2.3205760589228772E-2</v>
      </c>
      <c r="G31" s="38">
        <v>1</v>
      </c>
    </row>
    <row r="32" spans="1:7">
      <c r="B32" s="39"/>
      <c r="C32" s="39"/>
      <c r="D32" s="39"/>
      <c r="E32" s="39"/>
      <c r="F32" s="39"/>
      <c r="G32" s="39"/>
    </row>
    <row r="33" spans="1:8">
      <c r="B33" s="39"/>
      <c r="C33" s="39"/>
      <c r="D33" s="39"/>
      <c r="E33" s="39"/>
      <c r="F33" s="39"/>
      <c r="G33" s="39"/>
    </row>
    <row r="34" spans="1:8">
      <c r="A34" s="43" t="s">
        <v>258</v>
      </c>
    </row>
    <row r="35" spans="1:8">
      <c r="B35" s="28" t="s">
        <v>227</v>
      </c>
      <c r="C35" s="28" t="s">
        <v>228</v>
      </c>
      <c r="D35" s="28" t="s">
        <v>229</v>
      </c>
      <c r="E35" s="28" t="s">
        <v>230</v>
      </c>
      <c r="F35" s="28" t="s">
        <v>231</v>
      </c>
      <c r="G35" s="28" t="s">
        <v>232</v>
      </c>
      <c r="H35" s="40"/>
    </row>
    <row r="36" spans="1:8">
      <c r="A36" s="28" t="s">
        <v>251</v>
      </c>
      <c r="B36" s="16">
        <f>B27*$K$2</f>
        <v>0.84879256051489471</v>
      </c>
      <c r="C36" s="16">
        <f t="shared" ref="C36:G36" si="0">C27*$K$2</f>
        <v>0.29426365009266009</v>
      </c>
      <c r="D36" s="16">
        <f t="shared" si="0"/>
        <v>0.92265860595406546</v>
      </c>
      <c r="E36" s="16">
        <f t="shared" si="0"/>
        <v>1.3377424287898927</v>
      </c>
      <c r="F36" s="16">
        <f t="shared" si="0"/>
        <v>9.6542754648487189E-2</v>
      </c>
      <c r="G36" s="16">
        <f t="shared" si="0"/>
        <v>3.5</v>
      </c>
    </row>
    <row r="37" spans="1:8">
      <c r="A37" s="28" t="s">
        <v>252</v>
      </c>
      <c r="B37" s="16">
        <f t="shared" ref="B37:G37" si="1">B28*$K$2</f>
        <v>1.7099509378471114</v>
      </c>
      <c r="C37" s="16">
        <f t="shared" si="1"/>
        <v>0.14039600487473636</v>
      </c>
      <c r="D37" s="16">
        <f t="shared" si="1"/>
        <v>0.88158303016130701</v>
      </c>
      <c r="E37" s="16">
        <f t="shared" si="1"/>
        <v>0.6326791712948181</v>
      </c>
      <c r="F37" s="16">
        <f t="shared" si="1"/>
        <v>0.13539085582202715</v>
      </c>
      <c r="G37" s="16">
        <f t="shared" si="1"/>
        <v>3.5</v>
      </c>
    </row>
    <row r="38" spans="1:8">
      <c r="A38" s="28" t="s">
        <v>253</v>
      </c>
      <c r="B38" s="16">
        <f t="shared" ref="B38:G38" si="2">B29*$K$2</f>
        <v>1.6124995934827149</v>
      </c>
      <c r="C38" s="16">
        <f t="shared" si="2"/>
        <v>0.11797944648606459</v>
      </c>
      <c r="D38" s="16">
        <f t="shared" si="2"/>
        <v>1.061644281114833</v>
      </c>
      <c r="E38" s="16">
        <f t="shared" si="2"/>
        <v>0.66024098344661619</v>
      </c>
      <c r="F38" s="16">
        <f t="shared" si="2"/>
        <v>4.763569546977138E-2</v>
      </c>
      <c r="G38" s="16">
        <f t="shared" si="2"/>
        <v>3.5</v>
      </c>
    </row>
    <row r="39" spans="1:8">
      <c r="A39" s="28" t="s">
        <v>254</v>
      </c>
      <c r="B39" s="16">
        <f t="shared" ref="B39:G39" si="3">B30*$K$2</f>
        <v>1.2812686649706893</v>
      </c>
      <c r="C39" s="16">
        <f t="shared" si="3"/>
        <v>0.36962725362238691</v>
      </c>
      <c r="D39" s="16">
        <f t="shared" si="3"/>
        <v>1.0321922353721933</v>
      </c>
      <c r="E39" s="16">
        <f t="shared" si="3"/>
        <v>0.7888065479482359</v>
      </c>
      <c r="F39" s="16">
        <f t="shared" si="3"/>
        <v>2.8105298086494857E-2</v>
      </c>
      <c r="G39" s="16">
        <f t="shared" si="3"/>
        <v>3.5</v>
      </c>
    </row>
    <row r="40" spans="1:8">
      <c r="A40" s="28" t="s">
        <v>255</v>
      </c>
      <c r="B40" s="16">
        <f t="shared" ref="B40:G40" si="4">B31*$K$2</f>
        <v>2.0093133997109951</v>
      </c>
      <c r="C40" s="16">
        <f t="shared" si="4"/>
        <v>0.16899171397040444</v>
      </c>
      <c r="D40" s="16">
        <f t="shared" si="4"/>
        <v>0.60471248879648321</v>
      </c>
      <c r="E40" s="16">
        <f t="shared" si="4"/>
        <v>0.63576223545981669</v>
      </c>
      <c r="F40" s="16">
        <f t="shared" si="4"/>
        <v>8.1220162062300705E-2</v>
      </c>
      <c r="G40" s="16">
        <f t="shared" si="4"/>
        <v>3.5</v>
      </c>
    </row>
    <row r="41" spans="1:8">
      <c r="A41" s="28" t="s">
        <v>14</v>
      </c>
      <c r="B41" s="16">
        <f>B20*$K$3</f>
        <v>2.2191119499354328</v>
      </c>
      <c r="C41" s="16">
        <f t="shared" ref="C41:G41" si="5">C20*$K$3</f>
        <v>0.3715506109069236</v>
      </c>
      <c r="D41" s="16">
        <f t="shared" si="5"/>
        <v>0.21325121684712428</v>
      </c>
      <c r="E41" s="16">
        <f t="shared" si="5"/>
        <v>0.76288864607132223</v>
      </c>
      <c r="F41" s="16">
        <f t="shared" si="5"/>
        <v>3.3197576239197377E-2</v>
      </c>
      <c r="G41" s="16">
        <f t="shared" si="5"/>
        <v>3.6</v>
      </c>
    </row>
    <row r="42" spans="1:8">
      <c r="A42" s="40"/>
    </row>
    <row r="44" spans="1:8">
      <c r="A44" s="43" t="s">
        <v>262</v>
      </c>
    </row>
    <row r="45" spans="1:8">
      <c r="B45" s="28" t="s">
        <v>227</v>
      </c>
      <c r="C45" s="28" t="s">
        <v>228</v>
      </c>
      <c r="D45" s="28" t="s">
        <v>229</v>
      </c>
      <c r="E45" s="28" t="s">
        <v>230</v>
      </c>
      <c r="F45" s="28" t="s">
        <v>231</v>
      </c>
      <c r="G45" s="28" t="s">
        <v>232</v>
      </c>
    </row>
    <row r="46" spans="1:8">
      <c r="A46" s="28" t="s">
        <v>251</v>
      </c>
      <c r="B46" s="16">
        <f>B36*$K$7</f>
        <v>13.580680968238315</v>
      </c>
      <c r="D46" s="16">
        <f>D36*$K$6</f>
        <v>17.530513513127243</v>
      </c>
    </row>
    <row r="47" spans="1:8">
      <c r="A47" s="28" t="s">
        <v>252</v>
      </c>
      <c r="B47" s="16">
        <f t="shared" ref="B47:B50" si="6">B37*$K$7</f>
        <v>27.359215005553782</v>
      </c>
      <c r="D47" s="16">
        <f t="shared" ref="D47:D50" si="7">D37*$K$6</f>
        <v>16.750077573064832</v>
      </c>
    </row>
    <row r="48" spans="1:8">
      <c r="A48" s="28" t="s">
        <v>253</v>
      </c>
      <c r="B48" s="16">
        <f t="shared" si="6"/>
        <v>25.799993495723438</v>
      </c>
      <c r="D48" s="16">
        <f t="shared" si="7"/>
        <v>20.171241341181826</v>
      </c>
    </row>
    <row r="49" spans="1:7">
      <c r="A49" s="28" t="s">
        <v>254</v>
      </c>
      <c r="B49" s="16">
        <f t="shared" si="6"/>
        <v>20.500298639531028</v>
      </c>
      <c r="D49" s="16">
        <f t="shared" si="7"/>
        <v>19.611652472071672</v>
      </c>
    </row>
    <row r="50" spans="1:7">
      <c r="A50" s="28" t="s">
        <v>255</v>
      </c>
      <c r="B50" s="16">
        <f t="shared" si="6"/>
        <v>32.149014395375922</v>
      </c>
      <c r="D50" s="16">
        <f t="shared" si="7"/>
        <v>11.489537287133182</v>
      </c>
    </row>
    <row r="51" spans="1:7">
      <c r="A51" s="28" t="s">
        <v>14</v>
      </c>
      <c r="B51" s="16">
        <f>B41*$K$11</f>
        <v>39.944015098837788</v>
      </c>
      <c r="D51" s="16">
        <f>$K$10*D41</f>
        <v>5.544531638025231</v>
      </c>
    </row>
    <row r="53" spans="1:7">
      <c r="A53" s="43" t="s">
        <v>263</v>
      </c>
    </row>
    <row r="54" spans="1:7">
      <c r="B54" s="28" t="s">
        <v>227</v>
      </c>
      <c r="C54" s="28" t="s">
        <v>228</v>
      </c>
      <c r="D54" s="28" t="s">
        <v>229</v>
      </c>
      <c r="E54" s="28" t="s">
        <v>230</v>
      </c>
      <c r="F54" s="28" t="s">
        <v>231</v>
      </c>
      <c r="G54" s="28" t="s">
        <v>232</v>
      </c>
    </row>
    <row r="55" spans="1:7">
      <c r="A55" s="28" t="s">
        <v>251</v>
      </c>
      <c r="B55" s="16">
        <f>B46*227</f>
        <v>3082.8145797900975</v>
      </c>
      <c r="C55" s="16">
        <f t="shared" ref="C55:F55" si="8">C46*227</f>
        <v>0</v>
      </c>
      <c r="D55" s="16">
        <f t="shared" si="8"/>
        <v>3979.4265674798839</v>
      </c>
      <c r="E55" s="16">
        <f t="shared" si="8"/>
        <v>0</v>
      </c>
      <c r="F55" s="16">
        <f t="shared" si="8"/>
        <v>0</v>
      </c>
      <c r="G55" s="16">
        <f>SUM(B55:F55)</f>
        <v>7062.2411472699814</v>
      </c>
    </row>
    <row r="56" spans="1:7">
      <c r="A56" s="28" t="s">
        <v>252</v>
      </c>
      <c r="B56" s="16">
        <f t="shared" ref="B56:F56" si="9">B47*227</f>
        <v>6210.5418062607087</v>
      </c>
      <c r="C56" s="16">
        <f t="shared" si="9"/>
        <v>0</v>
      </c>
      <c r="D56" s="16">
        <f t="shared" si="9"/>
        <v>3802.2676090857167</v>
      </c>
      <c r="E56" s="16">
        <f t="shared" si="9"/>
        <v>0</v>
      </c>
      <c r="F56" s="16">
        <f t="shared" si="9"/>
        <v>0</v>
      </c>
      <c r="G56" s="16">
        <f t="shared" ref="G56:G60" si="10">SUM(B56:F56)</f>
        <v>10012.809415346426</v>
      </c>
    </row>
    <row r="57" spans="1:7">
      <c r="A57" s="28" t="s">
        <v>253</v>
      </c>
      <c r="B57" s="16">
        <f t="shared" ref="B57:F57" si="11">B48*227</f>
        <v>5856.5985235292201</v>
      </c>
      <c r="C57" s="16">
        <f t="shared" si="11"/>
        <v>0</v>
      </c>
      <c r="D57" s="16">
        <f t="shared" si="11"/>
        <v>4578.8717844482744</v>
      </c>
      <c r="E57" s="16">
        <f t="shared" si="11"/>
        <v>0</v>
      </c>
      <c r="F57" s="16">
        <f t="shared" si="11"/>
        <v>0</v>
      </c>
      <c r="G57" s="16">
        <f t="shared" si="10"/>
        <v>10435.470307977495</v>
      </c>
    </row>
    <row r="58" spans="1:7">
      <c r="A58" s="28" t="s">
        <v>254</v>
      </c>
      <c r="B58" s="16">
        <f t="shared" ref="B58:F58" si="12">B49*227</f>
        <v>4653.5677911735438</v>
      </c>
      <c r="C58" s="16">
        <f t="shared" si="12"/>
        <v>0</v>
      </c>
      <c r="D58" s="16">
        <f t="shared" si="12"/>
        <v>4451.8451111602699</v>
      </c>
      <c r="E58" s="16">
        <f t="shared" si="12"/>
        <v>0</v>
      </c>
      <c r="F58" s="16">
        <f t="shared" si="12"/>
        <v>0</v>
      </c>
      <c r="G58" s="16">
        <f t="shared" si="10"/>
        <v>9105.4129023338137</v>
      </c>
    </row>
    <row r="59" spans="1:7">
      <c r="A59" s="28" t="s">
        <v>255</v>
      </c>
      <c r="B59" s="16">
        <f t="shared" ref="B59:F59" si="13">B50*227</f>
        <v>7297.8262677503344</v>
      </c>
      <c r="C59" s="16">
        <f t="shared" si="13"/>
        <v>0</v>
      </c>
      <c r="D59" s="16">
        <f t="shared" si="13"/>
        <v>2608.1249641792324</v>
      </c>
      <c r="E59" s="16">
        <f t="shared" si="13"/>
        <v>0</v>
      </c>
      <c r="F59" s="16">
        <f t="shared" si="13"/>
        <v>0</v>
      </c>
      <c r="G59" s="16">
        <f t="shared" si="10"/>
        <v>9905.9512319295663</v>
      </c>
    </row>
    <row r="60" spans="1:7">
      <c r="A60" s="28" t="s">
        <v>14</v>
      </c>
      <c r="B60" s="16">
        <f t="shared" ref="B60:F60" si="14">B51*227</f>
        <v>9067.2914274361774</v>
      </c>
      <c r="C60" s="16">
        <f t="shared" si="14"/>
        <v>0</v>
      </c>
      <c r="D60" s="16">
        <f t="shared" si="14"/>
        <v>1258.6086818317274</v>
      </c>
      <c r="E60" s="16">
        <f t="shared" si="14"/>
        <v>0</v>
      </c>
      <c r="F60" s="16">
        <f t="shared" si="14"/>
        <v>0</v>
      </c>
      <c r="G60" s="16">
        <f t="shared" si="10"/>
        <v>10325.900109267905</v>
      </c>
    </row>
  </sheetData>
  <pageMargins left="0.7" right="0.7" top="0.75" bottom="0.75" header="0.3" footer="0.3"/>
  <pageSetup paperSize="0" orientation="portrait" horizontalDpi="0" verticalDpi="0" copie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D47"/>
  <sheetViews>
    <sheetView workbookViewId="0">
      <selection activeCell="M36" sqref="M36"/>
    </sheetView>
  </sheetViews>
  <sheetFormatPr defaultRowHeight="15"/>
  <cols>
    <col min="1" max="1" width="19.85546875" style="16" bestFit="1" customWidth="1"/>
    <col min="2" max="3" width="21.7109375" style="16" bestFit="1" customWidth="1"/>
    <col min="4" max="4" width="24" style="16" bestFit="1" customWidth="1"/>
    <col min="5" max="5" width="20.42578125" style="16" bestFit="1" customWidth="1"/>
    <col min="6" max="6" width="19.7109375" style="16" bestFit="1" customWidth="1"/>
    <col min="7" max="7" width="34.28515625" style="16" bestFit="1" customWidth="1"/>
    <col min="8" max="8" width="18.5703125" style="16" bestFit="1" customWidth="1"/>
    <col min="9" max="11" width="9.140625" style="16"/>
    <col min="12" max="12" width="12" style="16" bestFit="1" customWidth="1"/>
    <col min="13" max="14" width="9.140625" style="16"/>
    <col min="15" max="15" width="34.28515625" style="16" bestFit="1" customWidth="1"/>
    <col min="16" max="43" width="9.140625" style="16"/>
    <col min="44" max="45" width="12" style="16" bestFit="1" customWidth="1"/>
    <col min="46" max="16384" width="9.140625" style="16"/>
  </cols>
  <sheetData>
    <row r="1" spans="1:82">
      <c r="B1" s="16">
        <v>1970</v>
      </c>
      <c r="C1" s="16">
        <v>1971</v>
      </c>
      <c r="D1" s="16">
        <v>1972</v>
      </c>
      <c r="E1" s="16">
        <v>1973</v>
      </c>
      <c r="F1" s="16">
        <v>1974</v>
      </c>
      <c r="G1" s="16">
        <v>1975</v>
      </c>
      <c r="H1" s="16">
        <v>1976</v>
      </c>
      <c r="I1" s="16">
        <v>1977</v>
      </c>
      <c r="J1" s="16">
        <v>1978</v>
      </c>
      <c r="K1" s="16">
        <v>1979</v>
      </c>
      <c r="L1" s="16">
        <v>1980</v>
      </c>
      <c r="M1" s="16">
        <v>1981</v>
      </c>
      <c r="N1" s="16">
        <v>1982</v>
      </c>
      <c r="O1" s="16">
        <v>1983</v>
      </c>
      <c r="P1" s="16">
        <v>1984</v>
      </c>
      <c r="Q1" s="16">
        <v>1985</v>
      </c>
      <c r="R1" s="16">
        <v>1986</v>
      </c>
      <c r="S1" s="16">
        <v>1987</v>
      </c>
      <c r="T1" s="16">
        <v>1988</v>
      </c>
      <c r="U1" s="16">
        <v>1989</v>
      </c>
      <c r="V1" s="16">
        <v>1990</v>
      </c>
      <c r="W1" s="16">
        <v>1991</v>
      </c>
      <c r="X1" s="16">
        <v>1992</v>
      </c>
      <c r="Y1" s="16">
        <v>1993</v>
      </c>
      <c r="Z1" s="16">
        <v>1994</v>
      </c>
      <c r="AA1" s="16">
        <v>1995</v>
      </c>
      <c r="AB1" s="16">
        <v>1996</v>
      </c>
      <c r="AC1" s="16">
        <v>1997</v>
      </c>
      <c r="AD1" s="16">
        <v>1998</v>
      </c>
      <c r="AE1" s="16">
        <v>1999</v>
      </c>
      <c r="AF1" s="16">
        <v>2000</v>
      </c>
      <c r="AG1" s="16">
        <v>2001</v>
      </c>
      <c r="AH1" s="16">
        <v>2002</v>
      </c>
      <c r="AI1" s="16">
        <v>2003</v>
      </c>
      <c r="AJ1" s="16">
        <v>2004</v>
      </c>
      <c r="AK1" s="16">
        <v>2005</v>
      </c>
      <c r="AL1" s="16">
        <v>2006</v>
      </c>
      <c r="AM1" s="16">
        <v>2007</v>
      </c>
      <c r="AN1" s="16">
        <v>2008</v>
      </c>
      <c r="AO1" s="16">
        <v>2009</v>
      </c>
      <c r="AP1" s="16">
        <v>2010</v>
      </c>
      <c r="AQ1" s="16">
        <v>2011</v>
      </c>
      <c r="AR1" s="16">
        <v>2012</v>
      </c>
      <c r="AS1" s="16">
        <v>2013</v>
      </c>
      <c r="AT1" s="16">
        <v>2014</v>
      </c>
      <c r="AU1" s="16">
        <v>2015</v>
      </c>
      <c r="AV1" s="16">
        <v>2016</v>
      </c>
      <c r="AW1" s="16">
        <v>2017</v>
      </c>
      <c r="AX1" s="16">
        <v>2018</v>
      </c>
      <c r="AY1" s="16">
        <v>2019</v>
      </c>
      <c r="AZ1" s="16">
        <v>2020</v>
      </c>
      <c r="BA1" s="16">
        <v>2021</v>
      </c>
      <c r="BB1" s="16">
        <v>2022</v>
      </c>
      <c r="BC1" s="16">
        <v>2023</v>
      </c>
      <c r="BD1" s="16">
        <v>2024</v>
      </c>
      <c r="BE1" s="16">
        <v>2025</v>
      </c>
      <c r="BF1" s="16">
        <v>2026</v>
      </c>
      <c r="BG1" s="16">
        <v>2027</v>
      </c>
      <c r="BH1" s="16">
        <v>2028</v>
      </c>
      <c r="BI1" s="16">
        <v>2029</v>
      </c>
      <c r="BJ1" s="16">
        <v>2030</v>
      </c>
      <c r="BK1" s="16">
        <v>2031</v>
      </c>
      <c r="BL1" s="16">
        <v>2032</v>
      </c>
      <c r="BM1" s="16">
        <v>2033</v>
      </c>
      <c r="BN1" s="16">
        <v>2034</v>
      </c>
      <c r="BO1" s="16">
        <v>2035</v>
      </c>
      <c r="BP1" s="16">
        <v>2036</v>
      </c>
      <c r="BQ1" s="16">
        <v>2037</v>
      </c>
      <c r="BR1" s="16">
        <v>2038</v>
      </c>
      <c r="BS1" s="16">
        <v>2039</v>
      </c>
      <c r="BT1" s="16">
        <v>2040</v>
      </c>
      <c r="BU1" s="16">
        <v>2041</v>
      </c>
      <c r="BV1" s="16">
        <v>2042</v>
      </c>
      <c r="BW1" s="16">
        <v>2043</v>
      </c>
      <c r="BX1" s="16">
        <v>2044</v>
      </c>
      <c r="BY1" s="16">
        <v>2045</v>
      </c>
      <c r="BZ1" s="16">
        <v>2046</v>
      </c>
      <c r="CA1" s="16">
        <v>2047</v>
      </c>
      <c r="CB1" s="16">
        <v>2048</v>
      </c>
      <c r="CC1" s="16">
        <v>2049</v>
      </c>
      <c r="CD1" s="16">
        <v>2050</v>
      </c>
    </row>
    <row r="2" spans="1:82" s="12" customFormat="1">
      <c r="A2" s="12" t="s">
        <v>266</v>
      </c>
      <c r="B2" s="12">
        <v>100</v>
      </c>
      <c r="C2" s="12">
        <v>101.4</v>
      </c>
      <c r="D2" s="12">
        <v>108.7</v>
      </c>
      <c r="E2" s="12">
        <v>116.5</v>
      </c>
      <c r="F2" s="12">
        <v>113.6</v>
      </c>
      <c r="G2" s="12">
        <v>125.2</v>
      </c>
      <c r="H2" s="12">
        <v>131.4</v>
      </c>
      <c r="I2" s="12">
        <v>135.80000000000001</v>
      </c>
      <c r="J2" s="12">
        <v>135.30000000000001</v>
      </c>
      <c r="K2" s="12">
        <v>134.30000000000001</v>
      </c>
      <c r="L2" s="12">
        <v>138.30000000000001</v>
      </c>
      <c r="M2" s="12">
        <v>140</v>
      </c>
      <c r="N2" s="12">
        <v>145.1</v>
      </c>
      <c r="O2" s="12">
        <v>152.80000000000001</v>
      </c>
      <c r="P2" s="12">
        <v>158.6</v>
      </c>
      <c r="Q2" s="12">
        <v>165.1</v>
      </c>
      <c r="R2" s="12">
        <v>174.9</v>
      </c>
      <c r="S2" s="12">
        <v>184.1</v>
      </c>
      <c r="T2" s="12">
        <v>193</v>
      </c>
      <c r="U2" s="12">
        <v>201.6</v>
      </c>
      <c r="V2" s="12">
        <v>198.3</v>
      </c>
      <c r="W2" s="12">
        <v>198.7</v>
      </c>
      <c r="X2" s="12">
        <v>198.2</v>
      </c>
      <c r="Y2" s="12">
        <v>196.8</v>
      </c>
      <c r="Z2" s="12">
        <v>199.3</v>
      </c>
      <c r="AA2" s="12">
        <v>202.8</v>
      </c>
      <c r="AB2" s="12">
        <v>206.2</v>
      </c>
      <c r="AC2" s="12">
        <v>210</v>
      </c>
      <c r="AD2" s="12">
        <v>212.2</v>
      </c>
      <c r="AE2" s="12">
        <v>218.9</v>
      </c>
      <c r="AF2" s="12">
        <v>226.6</v>
      </c>
      <c r="AG2" s="12">
        <v>231</v>
      </c>
      <c r="AH2" s="12">
        <v>241.3</v>
      </c>
      <c r="AI2" s="12">
        <v>247.9</v>
      </c>
      <c r="AJ2" s="12">
        <v>253.7</v>
      </c>
      <c r="AK2" s="12">
        <v>259.3</v>
      </c>
      <c r="AL2" s="12">
        <v>261.8</v>
      </c>
      <c r="AM2" s="12">
        <v>267.89999999999998</v>
      </c>
      <c r="AN2" s="12">
        <v>264.60000000000002</v>
      </c>
      <c r="AO2" s="12">
        <v>261.2</v>
      </c>
      <c r="AP2" s="12">
        <v>267.60000000000002</v>
      </c>
      <c r="AQ2" s="12">
        <v>269.5</v>
      </c>
      <c r="AR2" s="12">
        <v>270.89999999999998</v>
      </c>
      <c r="AS2" s="12">
        <f t="shared" ref="AS2:CD2" si="0">AR2+$H$14</f>
        <v>270.89999999999998</v>
      </c>
      <c r="AT2" s="12">
        <f t="shared" si="0"/>
        <v>270.89999999999998</v>
      </c>
      <c r="AU2" s="12">
        <f t="shared" si="0"/>
        <v>270.89999999999998</v>
      </c>
      <c r="AV2" s="12">
        <f t="shared" si="0"/>
        <v>270.89999999999998</v>
      </c>
      <c r="AW2" s="12">
        <f t="shared" si="0"/>
        <v>270.89999999999998</v>
      </c>
      <c r="AX2" s="12">
        <f t="shared" si="0"/>
        <v>270.89999999999998</v>
      </c>
      <c r="AY2" s="12">
        <f t="shared" si="0"/>
        <v>270.89999999999998</v>
      </c>
      <c r="AZ2" s="12">
        <f t="shared" si="0"/>
        <v>270.89999999999998</v>
      </c>
      <c r="BA2" s="12">
        <f t="shared" si="0"/>
        <v>270.89999999999998</v>
      </c>
      <c r="BB2" s="12">
        <f t="shared" si="0"/>
        <v>270.89999999999998</v>
      </c>
      <c r="BC2" s="12">
        <f t="shared" si="0"/>
        <v>270.89999999999998</v>
      </c>
      <c r="BD2" s="12">
        <f t="shared" si="0"/>
        <v>270.89999999999998</v>
      </c>
      <c r="BE2" s="12">
        <f t="shared" si="0"/>
        <v>270.89999999999998</v>
      </c>
      <c r="BF2" s="12">
        <f t="shared" si="0"/>
        <v>270.89999999999998</v>
      </c>
      <c r="BG2" s="12">
        <f t="shared" si="0"/>
        <v>270.89999999999998</v>
      </c>
      <c r="BH2" s="12">
        <f t="shared" si="0"/>
        <v>270.89999999999998</v>
      </c>
      <c r="BI2" s="12">
        <f t="shared" si="0"/>
        <v>270.89999999999998</v>
      </c>
      <c r="BJ2" s="12">
        <f t="shared" si="0"/>
        <v>270.89999999999998</v>
      </c>
      <c r="BK2" s="12">
        <f t="shared" si="0"/>
        <v>270.89999999999998</v>
      </c>
      <c r="BL2" s="12">
        <f t="shared" si="0"/>
        <v>270.89999999999998</v>
      </c>
      <c r="BM2" s="12">
        <f t="shared" si="0"/>
        <v>270.89999999999998</v>
      </c>
      <c r="BN2" s="12">
        <f t="shared" si="0"/>
        <v>270.89999999999998</v>
      </c>
      <c r="BO2" s="12">
        <f t="shared" si="0"/>
        <v>270.89999999999998</v>
      </c>
      <c r="BP2" s="12">
        <f t="shared" si="0"/>
        <v>270.89999999999998</v>
      </c>
      <c r="BQ2" s="12">
        <f t="shared" si="0"/>
        <v>270.89999999999998</v>
      </c>
      <c r="BR2" s="12">
        <f t="shared" si="0"/>
        <v>270.89999999999998</v>
      </c>
      <c r="BS2" s="12">
        <f t="shared" si="0"/>
        <v>270.89999999999998</v>
      </c>
      <c r="BT2" s="12">
        <f t="shared" si="0"/>
        <v>270.89999999999998</v>
      </c>
      <c r="BU2" s="12">
        <f t="shared" si="0"/>
        <v>270.89999999999998</v>
      </c>
      <c r="BV2" s="12">
        <f t="shared" si="0"/>
        <v>270.89999999999998</v>
      </c>
      <c r="BW2" s="12">
        <f t="shared" si="0"/>
        <v>270.89999999999998</v>
      </c>
      <c r="BX2" s="12">
        <f t="shared" si="0"/>
        <v>270.89999999999998</v>
      </c>
      <c r="BY2" s="12">
        <f t="shared" si="0"/>
        <v>270.89999999999998</v>
      </c>
      <c r="BZ2" s="12">
        <f t="shared" si="0"/>
        <v>270.89999999999998</v>
      </c>
      <c r="CA2" s="12">
        <f t="shared" si="0"/>
        <v>270.89999999999998</v>
      </c>
      <c r="CB2" s="12">
        <f t="shared" si="0"/>
        <v>270.89999999999998</v>
      </c>
      <c r="CC2" s="12">
        <f t="shared" si="0"/>
        <v>270.89999999999998</v>
      </c>
      <c r="CD2" s="12">
        <f t="shared" si="0"/>
        <v>270.89999999999998</v>
      </c>
    </row>
    <row r="3" spans="1:82" s="2" customFormat="1">
      <c r="A3" s="2" t="s">
        <v>267</v>
      </c>
      <c r="B3" s="2">
        <v>100</v>
      </c>
      <c r="C3" s="2">
        <v>107.4</v>
      </c>
      <c r="D3" s="2">
        <v>111.3</v>
      </c>
      <c r="E3" s="2">
        <v>114.7</v>
      </c>
      <c r="F3" s="2">
        <v>111.5</v>
      </c>
      <c r="G3" s="2">
        <v>120.1</v>
      </c>
      <c r="H3" s="2">
        <v>125.6</v>
      </c>
      <c r="I3" s="2">
        <v>128.1</v>
      </c>
      <c r="J3" s="2">
        <v>127.6</v>
      </c>
      <c r="K3" s="2">
        <v>127.8</v>
      </c>
      <c r="L3" s="2">
        <v>127.6</v>
      </c>
      <c r="M3" s="2">
        <v>126.7</v>
      </c>
      <c r="N3" s="2">
        <v>128.6</v>
      </c>
      <c r="O3" s="2">
        <v>130.69999999999999</v>
      </c>
      <c r="P3" s="2">
        <v>133.6</v>
      </c>
      <c r="Q3" s="2">
        <v>136.80000000000001</v>
      </c>
      <c r="R3" s="2">
        <v>142.30000000000001</v>
      </c>
      <c r="S3" s="2">
        <v>148.5</v>
      </c>
      <c r="T3" s="2">
        <v>152.6</v>
      </c>
      <c r="U3" s="2">
        <v>159.9</v>
      </c>
      <c r="V3" s="2">
        <v>155.4</v>
      </c>
      <c r="W3" s="2">
        <v>153.80000000000001</v>
      </c>
      <c r="X3" s="2">
        <v>152.80000000000001</v>
      </c>
      <c r="Y3" s="2">
        <v>150.30000000000001</v>
      </c>
      <c r="Z3" s="2">
        <v>151.9</v>
      </c>
      <c r="AA3" s="2">
        <v>154.1</v>
      </c>
      <c r="AB3" s="2">
        <v>154.19999999999999</v>
      </c>
      <c r="AC3" s="2">
        <v>155.80000000000001</v>
      </c>
      <c r="AD3" s="2">
        <v>159.5</v>
      </c>
      <c r="AE3" s="2">
        <v>163</v>
      </c>
      <c r="AF3" s="2">
        <v>166.2</v>
      </c>
      <c r="AG3" s="2">
        <v>168.5</v>
      </c>
      <c r="AH3" s="2">
        <v>174.2</v>
      </c>
      <c r="AI3" s="2">
        <v>178.2</v>
      </c>
      <c r="AJ3" s="2">
        <v>181.2</v>
      </c>
      <c r="AK3" s="2">
        <v>184</v>
      </c>
      <c r="AL3" s="2">
        <v>184.9</v>
      </c>
      <c r="AM3" s="2">
        <v>187.2</v>
      </c>
      <c r="AN3" s="2">
        <v>183.6</v>
      </c>
      <c r="AO3" s="2">
        <v>180.7</v>
      </c>
      <c r="AP3" s="2">
        <v>183</v>
      </c>
      <c r="AQ3" s="2">
        <v>183.6</v>
      </c>
      <c r="AR3" s="2">
        <v>183</v>
      </c>
      <c r="AS3" s="2">
        <f>AR3+$H$13</f>
        <v>183</v>
      </c>
      <c r="AT3" s="2">
        <f t="shared" ref="AT3:CD3" si="1">AS3+$H$13</f>
        <v>183</v>
      </c>
      <c r="AU3" s="2">
        <f t="shared" si="1"/>
        <v>183</v>
      </c>
      <c r="AV3" s="2">
        <f t="shared" si="1"/>
        <v>183</v>
      </c>
      <c r="AW3" s="2">
        <f t="shared" si="1"/>
        <v>183</v>
      </c>
      <c r="AX3" s="2">
        <f t="shared" si="1"/>
        <v>183</v>
      </c>
      <c r="AY3" s="2">
        <f t="shared" si="1"/>
        <v>183</v>
      </c>
      <c r="AZ3" s="2">
        <f t="shared" si="1"/>
        <v>183</v>
      </c>
      <c r="BA3" s="2">
        <f t="shared" si="1"/>
        <v>183</v>
      </c>
      <c r="BB3" s="2">
        <f t="shared" si="1"/>
        <v>183</v>
      </c>
      <c r="BC3" s="2">
        <f t="shared" si="1"/>
        <v>183</v>
      </c>
      <c r="BD3" s="2">
        <f t="shared" si="1"/>
        <v>183</v>
      </c>
      <c r="BE3" s="2">
        <f t="shared" si="1"/>
        <v>183</v>
      </c>
      <c r="BF3" s="2">
        <f t="shared" si="1"/>
        <v>183</v>
      </c>
      <c r="BG3" s="2">
        <f t="shared" si="1"/>
        <v>183</v>
      </c>
      <c r="BH3" s="2">
        <f t="shared" si="1"/>
        <v>183</v>
      </c>
      <c r="BI3" s="2">
        <f t="shared" si="1"/>
        <v>183</v>
      </c>
      <c r="BJ3" s="2">
        <f t="shared" si="1"/>
        <v>183</v>
      </c>
      <c r="BK3" s="2">
        <f t="shared" si="1"/>
        <v>183</v>
      </c>
      <c r="BL3" s="2">
        <f t="shared" si="1"/>
        <v>183</v>
      </c>
      <c r="BM3" s="2">
        <f t="shared" si="1"/>
        <v>183</v>
      </c>
      <c r="BN3" s="2">
        <f t="shared" si="1"/>
        <v>183</v>
      </c>
      <c r="BO3" s="2">
        <f t="shared" si="1"/>
        <v>183</v>
      </c>
      <c r="BP3" s="2">
        <f t="shared" si="1"/>
        <v>183</v>
      </c>
      <c r="BQ3" s="2">
        <f t="shared" si="1"/>
        <v>183</v>
      </c>
      <c r="BR3" s="2">
        <f t="shared" si="1"/>
        <v>183</v>
      </c>
      <c r="BS3" s="2">
        <f t="shared" si="1"/>
        <v>183</v>
      </c>
      <c r="BT3" s="2">
        <f t="shared" si="1"/>
        <v>183</v>
      </c>
      <c r="BU3" s="2">
        <f t="shared" si="1"/>
        <v>183</v>
      </c>
      <c r="BV3" s="2">
        <f t="shared" si="1"/>
        <v>183</v>
      </c>
      <c r="BW3" s="2">
        <f t="shared" si="1"/>
        <v>183</v>
      </c>
      <c r="BX3" s="2">
        <f t="shared" si="1"/>
        <v>183</v>
      </c>
      <c r="BY3" s="2">
        <f t="shared" si="1"/>
        <v>183</v>
      </c>
      <c r="BZ3" s="2">
        <f t="shared" si="1"/>
        <v>183</v>
      </c>
      <c r="CA3" s="2">
        <f t="shared" si="1"/>
        <v>183</v>
      </c>
      <c r="CB3" s="2">
        <f t="shared" si="1"/>
        <v>183</v>
      </c>
      <c r="CC3" s="2">
        <f t="shared" si="1"/>
        <v>183</v>
      </c>
      <c r="CD3" s="2">
        <f t="shared" si="1"/>
        <v>183</v>
      </c>
    </row>
    <row r="4" spans="1:82">
      <c r="A4" s="16" t="s">
        <v>268</v>
      </c>
      <c r="B4" s="16">
        <v>100</v>
      </c>
      <c r="C4" s="16">
        <v>109.3</v>
      </c>
      <c r="D4" s="16">
        <v>113.3</v>
      </c>
      <c r="E4" s="16">
        <v>116.1</v>
      </c>
      <c r="F4" s="16">
        <v>110.8</v>
      </c>
      <c r="G4" s="16">
        <v>117.2</v>
      </c>
      <c r="H4" s="16">
        <v>123.1</v>
      </c>
      <c r="I4" s="16">
        <v>124.1</v>
      </c>
      <c r="J4" s="16">
        <v>123.7</v>
      </c>
      <c r="K4" s="16">
        <v>127.5</v>
      </c>
      <c r="L4" s="16">
        <v>128.6</v>
      </c>
      <c r="M4" s="16">
        <v>126.7</v>
      </c>
      <c r="N4" s="16">
        <v>125.1</v>
      </c>
      <c r="O4" s="16">
        <v>128.6</v>
      </c>
      <c r="P4" s="16">
        <v>130.4</v>
      </c>
      <c r="Q4" s="16">
        <v>134.4</v>
      </c>
      <c r="R4" s="16">
        <v>139.80000000000001</v>
      </c>
      <c r="S4" s="16">
        <v>144.6</v>
      </c>
      <c r="T4" s="16">
        <v>147.5</v>
      </c>
      <c r="U4" s="16">
        <v>155.6</v>
      </c>
      <c r="V4" s="16">
        <v>151.30000000000001</v>
      </c>
      <c r="W4" s="16">
        <v>149.5</v>
      </c>
      <c r="X4" s="16">
        <v>148.30000000000001</v>
      </c>
      <c r="Y4" s="16">
        <v>145.1</v>
      </c>
      <c r="Z4" s="16">
        <v>142.30000000000001</v>
      </c>
      <c r="AA4" s="16">
        <v>144.5</v>
      </c>
      <c r="AB4" s="16">
        <v>144</v>
      </c>
      <c r="AC4" s="16">
        <v>146.69999999999999</v>
      </c>
      <c r="AD4" s="16">
        <v>151.4</v>
      </c>
      <c r="AE4" s="16">
        <v>152.69999999999999</v>
      </c>
      <c r="AF4" s="16">
        <v>154.69999999999999</v>
      </c>
      <c r="AG4" s="16">
        <v>157.69999999999999</v>
      </c>
      <c r="AH4" s="16">
        <v>162.9</v>
      </c>
      <c r="AI4" s="16">
        <v>167.9</v>
      </c>
      <c r="AJ4" s="16">
        <v>171.4</v>
      </c>
      <c r="AK4" s="16">
        <v>173.3</v>
      </c>
      <c r="AL4" s="16">
        <v>174.4</v>
      </c>
      <c r="AM4" s="16">
        <v>175.5</v>
      </c>
      <c r="AN4" s="16">
        <v>172.6</v>
      </c>
      <c r="AO4" s="16">
        <v>169.1</v>
      </c>
      <c r="AP4" s="16">
        <v>173.8</v>
      </c>
      <c r="AQ4" s="16">
        <v>174.4</v>
      </c>
      <c r="AR4" s="16">
        <v>173.4</v>
      </c>
    </row>
    <row r="5" spans="1:82">
      <c r="A5" s="16" t="s">
        <v>269</v>
      </c>
      <c r="B5" s="16">
        <v>100</v>
      </c>
      <c r="C5" s="16">
        <v>93.4</v>
      </c>
      <c r="D5" s="16">
        <v>95</v>
      </c>
      <c r="E5" s="16">
        <v>97</v>
      </c>
      <c r="F5" s="16">
        <v>95</v>
      </c>
      <c r="G5" s="16">
        <v>101.9</v>
      </c>
      <c r="H5" s="16">
        <v>103</v>
      </c>
      <c r="I5" s="16">
        <v>103</v>
      </c>
      <c r="J5" s="16">
        <v>104</v>
      </c>
      <c r="K5" s="16">
        <v>95.4</v>
      </c>
      <c r="L5" s="16">
        <v>91.2</v>
      </c>
      <c r="M5" s="16">
        <v>89.7</v>
      </c>
      <c r="N5" s="16">
        <v>90.2</v>
      </c>
      <c r="O5" s="16">
        <v>90.4</v>
      </c>
      <c r="P5" s="16">
        <v>90.4</v>
      </c>
      <c r="Q5" s="16">
        <v>90.5</v>
      </c>
      <c r="R5" s="16">
        <v>92.4</v>
      </c>
      <c r="S5" s="16">
        <v>97.1</v>
      </c>
      <c r="T5" s="16">
        <v>99.2</v>
      </c>
      <c r="U5" s="16">
        <v>101.3</v>
      </c>
      <c r="V5" s="16">
        <v>97.1</v>
      </c>
      <c r="W5" s="16">
        <v>95.5</v>
      </c>
      <c r="X5" s="16">
        <v>92.1</v>
      </c>
      <c r="Y5" s="16">
        <v>90.7</v>
      </c>
      <c r="Z5" s="16">
        <v>88.3</v>
      </c>
      <c r="AA5" s="16">
        <v>88.6</v>
      </c>
      <c r="AB5" s="16">
        <v>87.1</v>
      </c>
      <c r="AC5" s="16">
        <v>88.4</v>
      </c>
      <c r="AD5" s="16">
        <v>88.2</v>
      </c>
      <c r="AE5" s="16">
        <v>89.6</v>
      </c>
      <c r="AF5" s="16">
        <v>90.5</v>
      </c>
      <c r="AG5" s="16">
        <v>90.2</v>
      </c>
      <c r="AH5" s="16">
        <v>87.2</v>
      </c>
      <c r="AI5" s="16">
        <v>86.4</v>
      </c>
      <c r="AJ5" s="16">
        <v>87</v>
      </c>
      <c r="AK5" s="16">
        <v>86.6</v>
      </c>
      <c r="AL5" s="16">
        <v>86.2</v>
      </c>
      <c r="AM5" s="16">
        <v>86.4</v>
      </c>
      <c r="AN5" s="16">
        <v>83</v>
      </c>
      <c r="AO5" s="16">
        <v>81.7</v>
      </c>
      <c r="AP5" s="16">
        <v>79.2</v>
      </c>
      <c r="AQ5" s="16">
        <v>78.099999999999994</v>
      </c>
      <c r="AR5" s="16">
        <v>74.8</v>
      </c>
    </row>
    <row r="6" spans="1:82">
      <c r="A6" s="16" t="s">
        <v>270</v>
      </c>
      <c r="B6" s="16">
        <v>100</v>
      </c>
      <c r="C6" s="16">
        <v>72.3</v>
      </c>
      <c r="D6" s="16">
        <v>67.7</v>
      </c>
      <c r="E6" s="16">
        <v>64.5</v>
      </c>
      <c r="F6" s="16">
        <v>63.2</v>
      </c>
      <c r="G6" s="16">
        <v>64.5</v>
      </c>
      <c r="H6" s="16">
        <v>65.2</v>
      </c>
      <c r="I6" s="16">
        <v>65.8</v>
      </c>
      <c r="J6" s="16">
        <v>66.5</v>
      </c>
      <c r="K6" s="16">
        <v>60.1</v>
      </c>
      <c r="L6" s="16">
        <v>52.5</v>
      </c>
      <c r="M6" s="16">
        <v>51</v>
      </c>
      <c r="N6" s="16">
        <v>53.7</v>
      </c>
      <c r="O6" s="16">
        <v>54.1</v>
      </c>
      <c r="P6" s="16">
        <v>54.8</v>
      </c>
      <c r="Q6" s="16">
        <v>54.8</v>
      </c>
      <c r="R6" s="16">
        <v>57.3</v>
      </c>
      <c r="S6" s="16">
        <v>61.4</v>
      </c>
      <c r="T6" s="16">
        <v>62.1</v>
      </c>
      <c r="U6" s="16">
        <v>59.7</v>
      </c>
      <c r="V6" s="16">
        <v>53.4</v>
      </c>
      <c r="W6" s="16">
        <v>51.9</v>
      </c>
      <c r="X6" s="16">
        <v>50.3</v>
      </c>
      <c r="Y6" s="16">
        <v>50.7</v>
      </c>
      <c r="Z6" s="16">
        <v>52.8</v>
      </c>
      <c r="AA6" s="16">
        <v>51.4</v>
      </c>
      <c r="AB6" s="16">
        <v>47.2</v>
      </c>
      <c r="AC6" s="16">
        <v>47.4</v>
      </c>
      <c r="AD6" s="16">
        <v>46.5</v>
      </c>
      <c r="AE6" s="16">
        <v>47.6</v>
      </c>
      <c r="AF6" s="16">
        <v>44.4</v>
      </c>
      <c r="AG6" s="16">
        <v>44.6</v>
      </c>
      <c r="AH6" s="16">
        <v>42.8</v>
      </c>
      <c r="AI6" s="16">
        <v>43.7</v>
      </c>
      <c r="AJ6" s="16">
        <v>43.9</v>
      </c>
      <c r="AK6" s="16">
        <v>42.4</v>
      </c>
      <c r="AL6" s="16">
        <v>42.6</v>
      </c>
      <c r="AM6" s="16">
        <v>39.5</v>
      </c>
      <c r="AN6" s="16">
        <v>37.200000000000003</v>
      </c>
      <c r="AO6" s="16">
        <v>35.799999999999997</v>
      </c>
      <c r="AP6" s="16">
        <v>35.200000000000003</v>
      </c>
      <c r="AQ6" s="16">
        <v>33.700000000000003</v>
      </c>
      <c r="AR6" s="16">
        <v>31.5</v>
      </c>
    </row>
    <row r="7" spans="1:82" s="73" customFormat="1"/>
    <row r="8" spans="1:82" s="73" customFormat="1">
      <c r="A8" s="16" t="s">
        <v>272</v>
      </c>
      <c r="B8" s="23">
        <f>Bakgrundsdata!V46</f>
        <v>465527</v>
      </c>
      <c r="C8" s="23">
        <f>Bakgrundsdata!W46</f>
        <v>464531</v>
      </c>
      <c r="D8" s="23">
        <f>Bakgrundsdata!X46</f>
        <v>456501</v>
      </c>
      <c r="E8" s="23">
        <f>Bakgrundsdata!Y46</f>
        <v>449470</v>
      </c>
      <c r="F8" s="23">
        <f>Bakgrundsdata!Z46</f>
        <v>445704</v>
      </c>
      <c r="G8" s="23">
        <f>Bakgrundsdata!AA46</f>
        <v>444651</v>
      </c>
      <c r="H8" s="23">
        <f>Bakgrundsdata!AB46</f>
        <v>442410</v>
      </c>
      <c r="I8" s="23">
        <f>Bakgrundsdata!AC46</f>
        <v>440082</v>
      </c>
      <c r="J8" s="23">
        <f>Bakgrundsdata!AD46</f>
        <v>436985</v>
      </c>
      <c r="K8" s="23">
        <f>Bakgrundsdata!AE46</f>
        <v>434699</v>
      </c>
      <c r="L8" s="23">
        <f>Bakgrundsdata!AF46</f>
        <v>431273</v>
      </c>
      <c r="M8" s="23">
        <f>Bakgrundsdata!AG46</f>
        <v>428171</v>
      </c>
      <c r="N8" s="23">
        <f>Bakgrundsdata!AH46</f>
        <v>425875</v>
      </c>
      <c r="O8" s="23">
        <f>Bakgrundsdata!AI46</f>
        <v>424186</v>
      </c>
      <c r="P8" s="23">
        <f>Bakgrundsdata!AJ46</f>
        <v>424085</v>
      </c>
      <c r="Q8" s="23">
        <f>Bakgrundsdata!AK46</f>
        <v>425495</v>
      </c>
      <c r="R8" s="23">
        <f>Bakgrundsdata!AL46</f>
        <v>429339</v>
      </c>
      <c r="S8" s="23">
        <f>Bakgrundsdata!AM46</f>
        <v>431521</v>
      </c>
      <c r="T8" s="23">
        <f>Bakgrundsdata!AN46</f>
        <v>430763</v>
      </c>
      <c r="U8" s="23">
        <f>Bakgrundsdata!AO46</f>
        <v>431840</v>
      </c>
      <c r="V8" s="23">
        <f>Bakgrundsdata!AP46</f>
        <v>433042</v>
      </c>
      <c r="W8" s="23">
        <f>Bakgrundsdata!AQ46</f>
        <v>432112</v>
      </c>
      <c r="X8" s="23">
        <f>Bakgrundsdata!AR46</f>
        <v>433811</v>
      </c>
      <c r="Y8" s="23">
        <f>Bakgrundsdata!AS46</f>
        <v>437313</v>
      </c>
      <c r="Z8" s="23">
        <f>Bakgrundsdata!AT46</f>
        <v>444553</v>
      </c>
      <c r="AA8" s="23">
        <f>Bakgrundsdata!AU46</f>
        <v>449189</v>
      </c>
      <c r="AB8" s="23">
        <f>Bakgrundsdata!AV46</f>
        <v>454016</v>
      </c>
      <c r="AC8" s="23">
        <f>Bakgrundsdata!AW46</f>
        <v>456611</v>
      </c>
      <c r="AD8" s="23">
        <f>Bakgrundsdata!AX46</f>
        <v>459593</v>
      </c>
      <c r="AE8" s="23">
        <f>Bakgrundsdata!AY46</f>
        <v>462470</v>
      </c>
      <c r="AF8" s="23">
        <f>Bakgrundsdata!AZ46</f>
        <v>466990</v>
      </c>
      <c r="AG8" s="23">
        <f>Bakgrundsdata!BA46</f>
        <v>471267</v>
      </c>
      <c r="AH8" s="23">
        <f>Bakgrundsdata!BB46</f>
        <v>474921</v>
      </c>
      <c r="AI8" s="23">
        <f>Bakgrundsdata!BC46</f>
        <v>478055</v>
      </c>
      <c r="AJ8" s="23">
        <f>Bakgrundsdata!BD46</f>
        <v>481410</v>
      </c>
      <c r="AK8" s="23">
        <f>Bakgrundsdata!BE46</f>
        <v>484942</v>
      </c>
      <c r="AL8" s="23">
        <f>Bakgrundsdata!BF46</f>
        <v>489757</v>
      </c>
      <c r="AM8" s="23">
        <f>Bakgrundsdata!BG46</f>
        <v>493502</v>
      </c>
      <c r="AN8" s="23">
        <f>Bakgrundsdata!BH46</f>
        <v>500197</v>
      </c>
      <c r="AO8" s="23">
        <f>Bakgrundsdata!BI46</f>
        <v>507330</v>
      </c>
      <c r="AP8" s="23">
        <f>Bakgrundsdata!BJ46</f>
        <v>513751</v>
      </c>
      <c r="AQ8" s="23">
        <f>Bakgrundsdata!BK46</f>
        <v>520374</v>
      </c>
      <c r="AR8" s="23">
        <f>Bakgrundsdata!BL46</f>
        <v>526089</v>
      </c>
      <c r="AS8" s="23"/>
      <c r="AT8" s="23"/>
      <c r="AU8" s="23"/>
      <c r="AV8" s="23"/>
      <c r="AW8" s="23"/>
      <c r="AX8" s="23"/>
      <c r="AY8" s="23"/>
      <c r="AZ8" s="23"/>
      <c r="BA8" s="23"/>
      <c r="BB8" s="23"/>
      <c r="BC8" s="23"/>
      <c r="BD8" s="23"/>
      <c r="BE8" s="23"/>
      <c r="BF8" s="23"/>
      <c r="BG8" s="23"/>
      <c r="BH8" s="23"/>
      <c r="BI8" s="23"/>
      <c r="BJ8" s="23"/>
      <c r="BK8" s="23"/>
      <c r="BL8" s="23"/>
      <c r="BM8" s="23"/>
      <c r="BN8" s="23"/>
      <c r="BO8" s="23"/>
      <c r="BP8" s="23"/>
      <c r="BQ8" s="23"/>
      <c r="BR8" s="23"/>
      <c r="BS8" s="23"/>
      <c r="BT8" s="23"/>
      <c r="BU8" s="23"/>
      <c r="BV8" s="23"/>
      <c r="BW8" s="23"/>
      <c r="BX8" s="23"/>
      <c r="BY8" s="23"/>
      <c r="BZ8" s="23"/>
      <c r="CA8" s="23"/>
      <c r="CB8" s="23"/>
      <c r="CC8" s="23"/>
      <c r="CD8" s="23"/>
    </row>
    <row r="9" spans="1:82" s="73" customFormat="1">
      <c r="A9" s="12" t="s">
        <v>266</v>
      </c>
      <c r="B9" s="12">
        <f>B2/B8</f>
        <v>2.1481031175420544E-4</v>
      </c>
      <c r="C9" s="12">
        <f t="shared" ref="C9:AR9" si="2">C2/C8</f>
        <v>2.1828467852522221E-4</v>
      </c>
      <c r="D9" s="12">
        <f t="shared" si="2"/>
        <v>2.3811557915535782E-4</v>
      </c>
      <c r="E9" s="12">
        <f t="shared" si="2"/>
        <v>2.5919416201303756E-4</v>
      </c>
      <c r="F9" s="12">
        <f t="shared" si="2"/>
        <v>2.5487767666433327E-4</v>
      </c>
      <c r="G9" s="12">
        <f t="shared" si="2"/>
        <v>2.8156914074184023E-4</v>
      </c>
      <c r="H9" s="12">
        <f t="shared" si="2"/>
        <v>2.9700956126669831E-4</v>
      </c>
      <c r="I9" s="12">
        <f t="shared" si="2"/>
        <v>3.0857885575869952E-4</v>
      </c>
      <c r="J9" s="12">
        <f t="shared" si="2"/>
        <v>3.0962161172580298E-4</v>
      </c>
      <c r="K9" s="12">
        <f t="shared" si="2"/>
        <v>3.0894941097172989E-4</v>
      </c>
      <c r="L9" s="12">
        <f t="shared" si="2"/>
        <v>3.2067854931794944E-4</v>
      </c>
      <c r="M9" s="12">
        <f t="shared" si="2"/>
        <v>3.269721676619855E-4</v>
      </c>
      <c r="N9" s="12">
        <f t="shared" si="2"/>
        <v>3.4071030231875552E-4</v>
      </c>
      <c r="O9" s="12">
        <f t="shared" si="2"/>
        <v>3.6021933774334848E-4</v>
      </c>
      <c r="P9" s="12">
        <f t="shared" si="2"/>
        <v>3.7398163104094699E-4</v>
      </c>
      <c r="Q9" s="12">
        <f t="shared" si="2"/>
        <v>3.8801866061880869E-4</v>
      </c>
      <c r="R9" s="12">
        <f t="shared" si="2"/>
        <v>4.0737039961429082E-4</v>
      </c>
      <c r="S9" s="12">
        <f t="shared" si="2"/>
        <v>4.2663045367432868E-4</v>
      </c>
      <c r="T9" s="12">
        <f t="shared" si="2"/>
        <v>4.4804219489603334E-4</v>
      </c>
      <c r="U9" s="12">
        <f t="shared" si="2"/>
        <v>4.6683957021118934E-4</v>
      </c>
      <c r="V9" s="12">
        <f t="shared" si="2"/>
        <v>4.5792324993880506E-4</v>
      </c>
      <c r="W9" s="12">
        <f t="shared" si="2"/>
        <v>4.598344873551301E-4</v>
      </c>
      <c r="X9" s="12">
        <f t="shared" si="2"/>
        <v>4.5688099195271669E-4</v>
      </c>
      <c r="Y9" s="12">
        <f t="shared" si="2"/>
        <v>4.5002092322890015E-4</v>
      </c>
      <c r="Z9" s="12">
        <f t="shared" si="2"/>
        <v>4.4831549893938408E-4</v>
      </c>
      <c r="AA9" s="12">
        <f t="shared" si="2"/>
        <v>4.5148033455850436E-4</v>
      </c>
      <c r="AB9" s="12">
        <f t="shared" si="2"/>
        <v>4.5416901606991822E-4</v>
      </c>
      <c r="AC9" s="12">
        <f t="shared" si="2"/>
        <v>4.5991007662977897E-4</v>
      </c>
      <c r="AD9" s="12">
        <f t="shared" si="2"/>
        <v>4.6171286333777928E-4</v>
      </c>
      <c r="AE9" s="12">
        <f t="shared" si="2"/>
        <v>4.7332799965403165E-4</v>
      </c>
      <c r="AF9" s="12">
        <f t="shared" si="2"/>
        <v>4.8523522987644274E-4</v>
      </c>
      <c r="AG9" s="12">
        <f t="shared" si="2"/>
        <v>4.9016799393974118E-4</v>
      </c>
      <c r="AH9" s="12">
        <f t="shared" si="2"/>
        <v>5.0808450247514852E-4</v>
      </c>
      <c r="AI9" s="12">
        <f t="shared" si="2"/>
        <v>5.1855957996464839E-4</v>
      </c>
      <c r="AJ9" s="12">
        <f t="shared" si="2"/>
        <v>5.2699362289939961E-4</v>
      </c>
      <c r="AK9" s="12">
        <f t="shared" si="2"/>
        <v>5.3470311913589666E-4</v>
      </c>
      <c r="AL9" s="12">
        <f t="shared" si="2"/>
        <v>5.3455080784960704E-4</v>
      </c>
      <c r="AM9" s="12">
        <f t="shared" si="2"/>
        <v>5.4285494283711107E-4</v>
      </c>
      <c r="AN9" s="12">
        <f t="shared" si="2"/>
        <v>5.2899157731853654E-4</v>
      </c>
      <c r="AO9" s="12">
        <f t="shared" si="2"/>
        <v>5.1485226578361224E-4</v>
      </c>
      <c r="AP9" s="12">
        <f t="shared" si="2"/>
        <v>5.2087489854034353E-4</v>
      </c>
      <c r="AQ9" s="12">
        <f t="shared" si="2"/>
        <v>5.1789674349602397E-4</v>
      </c>
      <c r="AR9" s="12">
        <f t="shared" si="2"/>
        <v>5.149318841488797E-4</v>
      </c>
      <c r="AS9" s="102">
        <f>AR9+$AR$12</f>
        <v>5.2207763587256242E-4</v>
      </c>
      <c r="AT9" s="102">
        <f t="shared" ref="AT9:CD9" si="3">AS9+$AR$12</f>
        <v>5.2922338759624514E-4</v>
      </c>
      <c r="AU9" s="102">
        <f t="shared" si="3"/>
        <v>5.3636913931992786E-4</v>
      </c>
      <c r="AV9" s="102">
        <f t="shared" si="3"/>
        <v>5.4351489104361057E-4</v>
      </c>
      <c r="AW9" s="102">
        <f t="shared" si="3"/>
        <v>5.5066064276729329E-4</v>
      </c>
      <c r="AX9" s="102">
        <f t="shared" si="3"/>
        <v>5.5780639449097601E-4</v>
      </c>
      <c r="AY9" s="102">
        <f t="shared" si="3"/>
        <v>5.6495214621465873E-4</v>
      </c>
      <c r="AZ9" s="102">
        <f t="shared" si="3"/>
        <v>5.7209789793834145E-4</v>
      </c>
      <c r="BA9" s="102">
        <f t="shared" si="3"/>
        <v>5.7924364966202417E-4</v>
      </c>
      <c r="BB9" s="102">
        <f t="shared" si="3"/>
        <v>5.8638940138570688E-4</v>
      </c>
      <c r="BC9" s="102">
        <f t="shared" si="3"/>
        <v>5.935351531093896E-4</v>
      </c>
      <c r="BD9" s="102">
        <f t="shared" si="3"/>
        <v>6.0068090483307232E-4</v>
      </c>
      <c r="BE9" s="102">
        <f t="shared" si="3"/>
        <v>6.0782665655675504E-4</v>
      </c>
      <c r="BF9" s="102">
        <f t="shared" si="3"/>
        <v>6.1497240828043776E-4</v>
      </c>
      <c r="BG9" s="102">
        <f t="shared" si="3"/>
        <v>6.2211816000412048E-4</v>
      </c>
      <c r="BH9" s="102">
        <f t="shared" si="3"/>
        <v>6.2926391172780319E-4</v>
      </c>
      <c r="BI9" s="102">
        <f t="shared" si="3"/>
        <v>6.3640966345148591E-4</v>
      </c>
      <c r="BJ9" s="102">
        <f t="shared" si="3"/>
        <v>6.4355541517516863E-4</v>
      </c>
      <c r="BK9" s="102">
        <f t="shared" si="3"/>
        <v>6.5070116689885135E-4</v>
      </c>
      <c r="BL9" s="102">
        <f t="shared" si="3"/>
        <v>6.5784691862253407E-4</v>
      </c>
      <c r="BM9" s="102">
        <f t="shared" si="3"/>
        <v>6.6499267034621679E-4</v>
      </c>
      <c r="BN9" s="102">
        <f t="shared" si="3"/>
        <v>6.7213842206989951E-4</v>
      </c>
      <c r="BO9" s="102">
        <f t="shared" si="3"/>
        <v>6.7928417379358222E-4</v>
      </c>
      <c r="BP9" s="102">
        <f t="shared" si="3"/>
        <v>6.8642992551726494E-4</v>
      </c>
      <c r="BQ9" s="102">
        <f t="shared" si="3"/>
        <v>6.9357567724094766E-4</v>
      </c>
      <c r="BR9" s="102">
        <f t="shared" si="3"/>
        <v>7.0072142896463038E-4</v>
      </c>
      <c r="BS9" s="102">
        <f t="shared" si="3"/>
        <v>7.078671806883131E-4</v>
      </c>
      <c r="BT9" s="102">
        <f t="shared" si="3"/>
        <v>7.1501293241199582E-4</v>
      </c>
      <c r="BU9" s="102">
        <f t="shared" si="3"/>
        <v>7.2215868413567853E-4</v>
      </c>
      <c r="BV9" s="102">
        <f t="shared" si="3"/>
        <v>7.2930443585936125E-4</v>
      </c>
      <c r="BW9" s="102">
        <f t="shared" si="3"/>
        <v>7.3645018758304397E-4</v>
      </c>
      <c r="BX9" s="102">
        <f t="shared" si="3"/>
        <v>7.4359593930672669E-4</v>
      </c>
      <c r="BY9" s="102">
        <f t="shared" si="3"/>
        <v>7.5074169103040941E-4</v>
      </c>
      <c r="BZ9" s="102">
        <f t="shared" si="3"/>
        <v>7.5788744275409213E-4</v>
      </c>
      <c r="CA9" s="102">
        <f t="shared" si="3"/>
        <v>7.6503319447777485E-4</v>
      </c>
      <c r="CB9" s="102">
        <f t="shared" si="3"/>
        <v>7.7217894620145756E-4</v>
      </c>
      <c r="CC9" s="102">
        <f t="shared" si="3"/>
        <v>7.7932469792514028E-4</v>
      </c>
      <c r="CD9" s="102">
        <f t="shared" si="3"/>
        <v>7.86470449648823E-4</v>
      </c>
    </row>
    <row r="10" spans="1:82" s="73" customFormat="1">
      <c r="A10" s="81" t="s">
        <v>267</v>
      </c>
      <c r="B10" s="81">
        <f>B3/B8</f>
        <v>2.1481031175420544E-4</v>
      </c>
      <c r="C10" s="81">
        <f t="shared" ref="C10:AR10" si="4">C3/C8</f>
        <v>2.3120093169239515E-4</v>
      </c>
      <c r="D10" s="81">
        <f t="shared" si="4"/>
        <v>2.4381107598888063E-4</v>
      </c>
      <c r="E10" s="81">
        <f t="shared" si="4"/>
        <v>2.551894453467417E-4</v>
      </c>
      <c r="F10" s="81">
        <f t="shared" si="4"/>
        <v>2.5016602947247499E-4</v>
      </c>
      <c r="G10" s="81">
        <f t="shared" si="4"/>
        <v>2.7009947127072691E-4</v>
      </c>
      <c r="H10" s="81">
        <f t="shared" si="4"/>
        <v>2.8389955019099926E-4</v>
      </c>
      <c r="I10" s="81">
        <f t="shared" si="4"/>
        <v>2.9108211651464951E-4</v>
      </c>
      <c r="J10" s="81">
        <f t="shared" si="4"/>
        <v>2.920008695950662E-4</v>
      </c>
      <c r="K10" s="81">
        <f t="shared" si="4"/>
        <v>2.9399653553378315E-4</v>
      </c>
      <c r="L10" s="81">
        <f t="shared" si="4"/>
        <v>2.9586827832950356E-4</v>
      </c>
      <c r="M10" s="81">
        <f t="shared" si="4"/>
        <v>2.9590981173409689E-4</v>
      </c>
      <c r="N10" s="81">
        <f t="shared" si="4"/>
        <v>3.0196653947754621E-4</v>
      </c>
      <c r="O10" s="81">
        <f t="shared" si="4"/>
        <v>3.0811955132889815E-4</v>
      </c>
      <c r="P10" s="81">
        <f t="shared" si="4"/>
        <v>3.1503118478606884E-4</v>
      </c>
      <c r="Q10" s="81">
        <f t="shared" si="4"/>
        <v>3.2150789080952777E-4</v>
      </c>
      <c r="R10" s="81">
        <f t="shared" si="4"/>
        <v>3.3143972478624122E-4</v>
      </c>
      <c r="S10" s="81">
        <f t="shared" si="4"/>
        <v>3.4413157181226406E-4</v>
      </c>
      <c r="T10" s="81">
        <f t="shared" si="4"/>
        <v>3.5425512404732996E-4</v>
      </c>
      <c r="U10" s="81">
        <f t="shared" si="4"/>
        <v>3.7027602815857725E-4</v>
      </c>
      <c r="V10" s="81">
        <f t="shared" si="4"/>
        <v>3.5885664669939635E-4</v>
      </c>
      <c r="W10" s="81">
        <f t="shared" si="4"/>
        <v>3.5592624134483654E-4</v>
      </c>
      <c r="X10" s="81">
        <f t="shared" si="4"/>
        <v>3.5222712194942038E-4</v>
      </c>
      <c r="Y10" s="81">
        <f t="shared" si="4"/>
        <v>3.4368975996597404E-4</v>
      </c>
      <c r="Z10" s="81">
        <f t="shared" si="4"/>
        <v>3.4169154184090535E-4</v>
      </c>
      <c r="AA10" s="81">
        <f t="shared" si="4"/>
        <v>3.430627197015065E-4</v>
      </c>
      <c r="AB10" s="81">
        <f t="shared" si="4"/>
        <v>3.3963560755568081E-4</v>
      </c>
      <c r="AC10" s="81">
        <f t="shared" si="4"/>
        <v>3.41209475899617E-4</v>
      </c>
      <c r="AD10" s="81">
        <f t="shared" si="4"/>
        <v>3.4704619086887745E-4</v>
      </c>
      <c r="AE10" s="81">
        <f t="shared" si="4"/>
        <v>3.5245529439747444E-4</v>
      </c>
      <c r="AF10" s="81">
        <f t="shared" si="4"/>
        <v>3.5589627186877659E-4</v>
      </c>
      <c r="AG10" s="81">
        <f t="shared" si="4"/>
        <v>3.5754678345820948E-4</v>
      </c>
      <c r="AH10" s="81">
        <f t="shared" si="4"/>
        <v>3.6679784637866087E-4</v>
      </c>
      <c r="AI10" s="81">
        <f t="shared" si="4"/>
        <v>3.7276045643283719E-4</v>
      </c>
      <c r="AJ10" s="81">
        <f t="shared" si="4"/>
        <v>3.7639434162148685E-4</v>
      </c>
      <c r="AK10" s="81">
        <f t="shared" si="4"/>
        <v>3.7942681805246814E-4</v>
      </c>
      <c r="AL10" s="81">
        <f t="shared" si="4"/>
        <v>3.7753416490218621E-4</v>
      </c>
      <c r="AM10" s="81">
        <f t="shared" si="4"/>
        <v>3.7932976968685031E-4</v>
      </c>
      <c r="AN10" s="81">
        <f t="shared" si="4"/>
        <v>3.6705538018020901E-4</v>
      </c>
      <c r="AO10" s="81">
        <f t="shared" si="4"/>
        <v>3.5617842429976542E-4</v>
      </c>
      <c r="AP10" s="81">
        <f t="shared" si="4"/>
        <v>3.5620368622153536E-4</v>
      </c>
      <c r="AQ10" s="81">
        <f t="shared" si="4"/>
        <v>3.5282316180285718E-4</v>
      </c>
      <c r="AR10" s="81">
        <f t="shared" si="4"/>
        <v>3.4784988851696195E-4</v>
      </c>
      <c r="AS10" s="66">
        <f>AR10+$AR$13</f>
        <v>3.5101749748750379E-4</v>
      </c>
      <c r="AT10" s="66">
        <f t="shared" ref="AT10:CD10" si="5">AS10+$AR$13</f>
        <v>3.5418510645804564E-4</v>
      </c>
      <c r="AU10" s="66">
        <f t="shared" si="5"/>
        <v>3.5735271542858748E-4</v>
      </c>
      <c r="AV10" s="66">
        <f t="shared" si="5"/>
        <v>3.6052032439912933E-4</v>
      </c>
      <c r="AW10" s="66">
        <f t="shared" si="5"/>
        <v>3.6368793336967117E-4</v>
      </c>
      <c r="AX10" s="66">
        <f t="shared" si="5"/>
        <v>3.6685554234021302E-4</v>
      </c>
      <c r="AY10" s="66">
        <f t="shared" si="5"/>
        <v>3.7002315131075486E-4</v>
      </c>
      <c r="AZ10" s="66">
        <f t="shared" si="5"/>
        <v>3.7319076028129671E-4</v>
      </c>
      <c r="BA10" s="66">
        <f t="shared" si="5"/>
        <v>3.7635836925183856E-4</v>
      </c>
      <c r="BB10" s="66">
        <f t="shared" si="5"/>
        <v>3.795259782223804E-4</v>
      </c>
      <c r="BC10" s="66">
        <f t="shared" si="5"/>
        <v>3.8269358719292225E-4</v>
      </c>
      <c r="BD10" s="66">
        <f t="shared" si="5"/>
        <v>3.8586119616346409E-4</v>
      </c>
      <c r="BE10" s="66">
        <f t="shared" si="5"/>
        <v>3.8902880513400594E-4</v>
      </c>
      <c r="BF10" s="66">
        <f t="shared" si="5"/>
        <v>3.9219641410454778E-4</v>
      </c>
      <c r="BG10" s="66">
        <f t="shared" si="5"/>
        <v>3.9536402307508963E-4</v>
      </c>
      <c r="BH10" s="66">
        <f t="shared" si="5"/>
        <v>3.9853163204563147E-4</v>
      </c>
      <c r="BI10" s="66">
        <f t="shared" si="5"/>
        <v>4.0169924101617332E-4</v>
      </c>
      <c r="BJ10" s="66">
        <f t="shared" si="5"/>
        <v>4.0486684998671516E-4</v>
      </c>
      <c r="BK10" s="66">
        <f t="shared" si="5"/>
        <v>4.0803445895725701E-4</v>
      </c>
      <c r="BL10" s="66">
        <f t="shared" si="5"/>
        <v>4.1120206792779885E-4</v>
      </c>
      <c r="BM10" s="66">
        <f t="shared" si="5"/>
        <v>4.143696768983407E-4</v>
      </c>
      <c r="BN10" s="66">
        <f t="shared" si="5"/>
        <v>4.1753728586888255E-4</v>
      </c>
      <c r="BO10" s="66">
        <f t="shared" si="5"/>
        <v>4.2070489483942439E-4</v>
      </c>
      <c r="BP10" s="66">
        <f t="shared" si="5"/>
        <v>4.2387250380996624E-4</v>
      </c>
      <c r="BQ10" s="66">
        <f t="shared" si="5"/>
        <v>4.2704011278050808E-4</v>
      </c>
      <c r="BR10" s="66">
        <f t="shared" si="5"/>
        <v>4.3020772175104993E-4</v>
      </c>
      <c r="BS10" s="66">
        <f t="shared" si="5"/>
        <v>4.3337533072159177E-4</v>
      </c>
      <c r="BT10" s="66">
        <f t="shared" si="5"/>
        <v>4.3654293969213362E-4</v>
      </c>
      <c r="BU10" s="66">
        <f t="shared" si="5"/>
        <v>4.3971054866267546E-4</v>
      </c>
      <c r="BV10" s="66">
        <f t="shared" si="5"/>
        <v>4.4287815763321731E-4</v>
      </c>
      <c r="BW10" s="66">
        <f t="shared" si="5"/>
        <v>4.4604576660375915E-4</v>
      </c>
      <c r="BX10" s="66">
        <f t="shared" si="5"/>
        <v>4.49213375574301E-4</v>
      </c>
      <c r="BY10" s="66">
        <f t="shared" si="5"/>
        <v>4.5238098454484284E-4</v>
      </c>
      <c r="BZ10" s="66">
        <f t="shared" si="5"/>
        <v>4.5554859351538469E-4</v>
      </c>
      <c r="CA10" s="66">
        <f t="shared" si="5"/>
        <v>4.5871620248592654E-4</v>
      </c>
      <c r="CB10" s="66">
        <f t="shared" si="5"/>
        <v>4.6188381145646838E-4</v>
      </c>
      <c r="CC10" s="66">
        <f t="shared" si="5"/>
        <v>4.6505142042701023E-4</v>
      </c>
      <c r="CD10" s="66">
        <f t="shared" si="5"/>
        <v>4.6821902939755207E-4</v>
      </c>
    </row>
    <row r="11" spans="1:82">
      <c r="AB11" s="16" t="s">
        <v>271</v>
      </c>
    </row>
    <row r="12" spans="1:82">
      <c r="AQ12" s="12" t="s">
        <v>339</v>
      </c>
      <c r="AR12" s="12">
        <f>(AR9-B9)/(AR1-B1)</f>
        <v>7.145751723682721E-6</v>
      </c>
    </row>
    <row r="13" spans="1:82">
      <c r="AQ13" s="81" t="s">
        <v>339</v>
      </c>
      <c r="AR13" s="81">
        <f>(AR10-B10)/(AR1-B1)</f>
        <v>3.1676089705418217E-6</v>
      </c>
    </row>
    <row r="14" spans="1:82">
      <c r="G14" s="73"/>
      <c r="H14" s="73"/>
      <c r="I14" s="73"/>
    </row>
    <row r="16" spans="1:82">
      <c r="H16" s="51"/>
    </row>
    <row r="17" spans="7:9">
      <c r="H17" s="51"/>
    </row>
    <row r="18" spans="7:9">
      <c r="G18" s="47"/>
    </row>
    <row r="19" spans="7:9">
      <c r="H19" s="23"/>
    </row>
    <row r="23" spans="7:9">
      <c r="I23" s="51"/>
    </row>
    <row r="24" spans="7:9">
      <c r="I24" s="51"/>
    </row>
    <row r="25" spans="7:9">
      <c r="I25" s="51"/>
    </row>
    <row r="26" spans="7:9">
      <c r="I26" s="51"/>
    </row>
    <row r="27" spans="7:9">
      <c r="G27" s="73"/>
      <c r="I27" s="51"/>
    </row>
    <row r="28" spans="7:9">
      <c r="G28" s="73"/>
      <c r="I28" s="51"/>
    </row>
    <row r="29" spans="7:9">
      <c r="G29" s="73"/>
      <c r="I29" s="51"/>
    </row>
    <row r="34" spans="2:10">
      <c r="F34" s="12" t="s">
        <v>340</v>
      </c>
      <c r="G34" s="103">
        <f>(BJ9-AP9)/AP9</f>
        <v>0.2355277955966294</v>
      </c>
    </row>
    <row r="35" spans="2:10">
      <c r="F35" s="12" t="s">
        <v>341</v>
      </c>
      <c r="G35" s="103">
        <f>(CD9-AP9)/AP9</f>
        <v>0.50990276523741562</v>
      </c>
    </row>
    <row r="36" spans="2:10">
      <c r="G36" s="51"/>
    </row>
    <row r="37" spans="2:10">
      <c r="F37" s="81" t="s">
        <v>340</v>
      </c>
      <c r="G37" s="104">
        <f>(BJ10-AP10)/AP10</f>
        <v>0.13661611501379722</v>
      </c>
    </row>
    <row r="38" spans="2:10">
      <c r="F38" s="81" t="s">
        <v>341</v>
      </c>
      <c r="G38" s="104">
        <f>(CD10-AP10)/AP10</f>
        <v>0.31446991569410798</v>
      </c>
    </row>
    <row r="41" spans="2:10" ht="18.75">
      <c r="B41" s="89"/>
    </row>
    <row r="42" spans="2:10">
      <c r="C42" s="87"/>
      <c r="D42" s="87"/>
      <c r="E42" s="87"/>
      <c r="F42" s="87"/>
      <c r="G42" s="87"/>
      <c r="H42" s="87"/>
      <c r="I42" s="88"/>
      <c r="J42" s="88"/>
    </row>
    <row r="43" spans="2:10">
      <c r="B43" s="74"/>
      <c r="C43" s="67"/>
      <c r="D43" s="67"/>
      <c r="E43" s="67"/>
      <c r="F43" s="67"/>
      <c r="G43" s="67"/>
      <c r="H43" s="67"/>
    </row>
    <row r="44" spans="2:10">
      <c r="B44" s="74"/>
      <c r="C44" s="67"/>
      <c r="D44" s="67"/>
      <c r="E44" s="67"/>
      <c r="F44" s="67"/>
      <c r="G44" s="67"/>
      <c r="H44" s="67"/>
    </row>
    <row r="45" spans="2:10">
      <c r="B45" s="74"/>
      <c r="C45" s="67"/>
      <c r="D45" s="67"/>
      <c r="E45" s="67"/>
      <c r="F45" s="67"/>
      <c r="G45" s="67"/>
      <c r="H45" s="67"/>
    </row>
    <row r="46" spans="2:10">
      <c r="B46" s="68"/>
      <c r="C46" s="69"/>
      <c r="D46" s="69"/>
      <c r="E46" s="69"/>
      <c r="F46" s="69"/>
      <c r="G46" s="69"/>
      <c r="H46" s="69"/>
    </row>
    <row r="47" spans="2:10">
      <c r="B47" s="68"/>
      <c r="C47" s="69"/>
      <c r="D47" s="69"/>
      <c r="E47" s="69"/>
      <c r="F47" s="69"/>
      <c r="G47" s="69"/>
      <c r="H47" s="69"/>
    </row>
  </sheetData>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R34"/>
  <sheetViews>
    <sheetView topLeftCell="A52" workbookViewId="0">
      <selection activeCell="O46" sqref="O46"/>
    </sheetView>
  </sheetViews>
  <sheetFormatPr defaultRowHeight="15"/>
  <cols>
    <col min="1" max="1" width="9.140625" style="90"/>
    <col min="2" max="2" width="46" style="90" bestFit="1" customWidth="1"/>
    <col min="3" max="16" width="9.140625" style="90"/>
    <col min="17" max="17" width="13.42578125" style="90" customWidth="1"/>
    <col min="18" max="19" width="12.7109375" style="90" bestFit="1" customWidth="1"/>
    <col min="20" max="29" width="9.140625" style="90"/>
    <col min="30" max="30" width="10" style="90" bestFit="1" customWidth="1"/>
    <col min="31" max="16384" width="9.140625" style="90"/>
  </cols>
  <sheetData>
    <row r="1" spans="1:70" ht="18.75">
      <c r="A1" s="92" t="s">
        <v>307</v>
      </c>
    </row>
    <row r="3" spans="1:70">
      <c r="C3" s="91">
        <v>1983</v>
      </c>
      <c r="D3" s="91">
        <v>1984</v>
      </c>
      <c r="E3" s="91">
        <v>1985</v>
      </c>
      <c r="F3" s="91">
        <v>1986</v>
      </c>
      <c r="G3" s="91">
        <v>1987</v>
      </c>
      <c r="H3" s="91">
        <v>1988</v>
      </c>
      <c r="I3" s="91">
        <v>1989</v>
      </c>
      <c r="J3" s="91">
        <v>1990</v>
      </c>
      <c r="K3" s="91">
        <v>1991</v>
      </c>
      <c r="L3" s="91">
        <v>1992</v>
      </c>
      <c r="M3" s="91">
        <v>1993</v>
      </c>
      <c r="N3" s="91">
        <v>1994</v>
      </c>
      <c r="O3" s="91">
        <v>1995</v>
      </c>
      <c r="P3" s="91">
        <v>1996</v>
      </c>
      <c r="Q3" s="91">
        <v>1997</v>
      </c>
      <c r="R3" s="91">
        <v>1998</v>
      </c>
      <c r="S3" s="91">
        <v>1999</v>
      </c>
      <c r="T3" s="91">
        <v>2000</v>
      </c>
      <c r="U3" s="91">
        <v>2001</v>
      </c>
      <c r="V3" s="91">
        <v>2002</v>
      </c>
      <c r="W3" s="91">
        <v>2003</v>
      </c>
      <c r="X3" s="91">
        <v>2004</v>
      </c>
      <c r="Y3" s="91">
        <v>2005</v>
      </c>
      <c r="Z3" s="91">
        <v>2006</v>
      </c>
      <c r="AA3" s="91">
        <v>2007</v>
      </c>
      <c r="AB3" s="91">
        <v>2008</v>
      </c>
      <c r="AC3" s="91">
        <v>2009</v>
      </c>
      <c r="AD3" s="91">
        <v>2010</v>
      </c>
      <c r="AE3" s="91">
        <v>2011</v>
      </c>
      <c r="AF3" s="91">
        <v>2012</v>
      </c>
      <c r="AG3" s="91">
        <v>2013</v>
      </c>
      <c r="AH3" s="91">
        <v>2014</v>
      </c>
      <c r="AI3" s="91">
        <v>2015</v>
      </c>
      <c r="AJ3" s="91">
        <v>2016</v>
      </c>
      <c r="AK3" s="91">
        <v>2017</v>
      </c>
      <c r="AL3" s="91">
        <v>2018</v>
      </c>
      <c r="AM3" s="91">
        <v>2019</v>
      </c>
      <c r="AN3" s="91">
        <v>2020</v>
      </c>
      <c r="AO3" s="91">
        <v>2021</v>
      </c>
      <c r="AP3" s="91">
        <v>2022</v>
      </c>
      <c r="AQ3" s="91">
        <v>2023</v>
      </c>
      <c r="AR3" s="91">
        <v>2024</v>
      </c>
      <c r="AS3" s="91">
        <v>2025</v>
      </c>
      <c r="AT3" s="91">
        <v>2026</v>
      </c>
      <c r="AU3" s="91">
        <v>2027</v>
      </c>
      <c r="AV3" s="91">
        <v>2028</v>
      </c>
      <c r="AW3" s="91">
        <v>2029</v>
      </c>
      <c r="AX3" s="91">
        <v>2030</v>
      </c>
      <c r="AY3" s="91">
        <v>2031</v>
      </c>
      <c r="AZ3" s="91">
        <v>2032</v>
      </c>
      <c r="BA3" s="91">
        <v>2033</v>
      </c>
      <c r="BB3" s="91">
        <v>2034</v>
      </c>
      <c r="BC3" s="91">
        <v>2035</v>
      </c>
      <c r="BD3" s="91">
        <v>2036</v>
      </c>
      <c r="BE3" s="91">
        <v>2037</v>
      </c>
      <c r="BF3" s="91">
        <v>2038</v>
      </c>
      <c r="BG3" s="91">
        <v>2039</v>
      </c>
      <c r="BH3" s="91">
        <v>2040</v>
      </c>
      <c r="BI3" s="91">
        <v>2041</v>
      </c>
      <c r="BJ3" s="91">
        <v>2042</v>
      </c>
      <c r="BK3" s="91">
        <v>2043</v>
      </c>
      <c r="BL3" s="91">
        <v>2044</v>
      </c>
      <c r="BM3" s="91">
        <v>2045</v>
      </c>
      <c r="BN3" s="91">
        <v>2046</v>
      </c>
      <c r="BO3" s="91">
        <v>2047</v>
      </c>
      <c r="BP3" s="91">
        <v>2048</v>
      </c>
      <c r="BQ3" s="91">
        <v>2049</v>
      </c>
      <c r="BR3" s="91">
        <v>2050</v>
      </c>
    </row>
    <row r="4" spans="1:70">
      <c r="A4" s="91" t="s">
        <v>306</v>
      </c>
      <c r="B4" s="91" t="s">
        <v>305</v>
      </c>
      <c r="C4" s="90">
        <v>113663</v>
      </c>
      <c r="D4" s="90">
        <v>121288</v>
      </c>
      <c r="E4" s="90">
        <v>142790</v>
      </c>
      <c r="F4" s="90">
        <v>143576</v>
      </c>
      <c r="G4" s="90">
        <v>146333</v>
      </c>
      <c r="H4" s="90">
        <v>138830</v>
      </c>
      <c r="I4" s="90">
        <v>136775</v>
      </c>
      <c r="J4" s="90">
        <v>137440</v>
      </c>
      <c r="K4" s="90">
        <v>148298</v>
      </c>
      <c r="L4" s="90">
        <v>144570</v>
      </c>
      <c r="M4" s="90">
        <v>150214</v>
      </c>
      <c r="N4" s="90">
        <v>152676</v>
      </c>
      <c r="O4" s="90">
        <v>152424</v>
      </c>
      <c r="P4" s="90">
        <v>156301</v>
      </c>
      <c r="Q4" s="90">
        <v>149465</v>
      </c>
      <c r="R4" s="90">
        <v>150959</v>
      </c>
      <c r="S4" s="90">
        <v>148867</v>
      </c>
      <c r="T4" s="90">
        <v>147751</v>
      </c>
      <c r="U4" s="90">
        <v>156247</v>
      </c>
      <c r="V4" s="90">
        <v>153666</v>
      </c>
      <c r="W4" s="90">
        <v>154894</v>
      </c>
      <c r="X4" s="90">
        <v>153864</v>
      </c>
      <c r="Y4" s="90">
        <v>152017</v>
      </c>
      <c r="Z4" s="90">
        <v>149486</v>
      </c>
      <c r="AA4" s="90">
        <v>148025</v>
      </c>
      <c r="AB4" s="90">
        <v>149818</v>
      </c>
      <c r="AC4" s="90">
        <v>152258</v>
      </c>
    </row>
    <row r="5" spans="1:70">
      <c r="B5" s="90" t="s">
        <v>309</v>
      </c>
      <c r="C5" s="93">
        <f>Bakgrundsdata!IB24</f>
        <v>8330573</v>
      </c>
      <c r="D5" s="93">
        <f>Bakgrundsdata!IC24</f>
        <v>8342621</v>
      </c>
      <c r="E5" s="93">
        <f>Bakgrundsdata!ID24</f>
        <v>8358139</v>
      </c>
      <c r="F5" s="93">
        <f>Bakgrundsdata!IE24</f>
        <v>8381515</v>
      </c>
      <c r="G5" s="93">
        <f>Bakgrundsdata!IF24</f>
        <v>8414083</v>
      </c>
      <c r="H5" s="93">
        <f>Bakgrundsdata!IG24</f>
        <v>8458888</v>
      </c>
      <c r="I5" s="93">
        <f>Bakgrundsdata!IH24</f>
        <v>8527036</v>
      </c>
      <c r="J5" s="93">
        <f>Bakgrundsdata!II24</f>
        <v>8590630</v>
      </c>
      <c r="K5" s="93">
        <f>Bakgrundsdata!IJ24</f>
        <v>8644119</v>
      </c>
      <c r="L5" s="93">
        <f>Bakgrundsdata!IK24</f>
        <v>8692013</v>
      </c>
      <c r="M5" s="93">
        <f>Bakgrundsdata!IL24</f>
        <v>8745109</v>
      </c>
      <c r="N5" s="93">
        <f>Bakgrundsdata!IM24</f>
        <v>8816381</v>
      </c>
      <c r="O5" s="93">
        <f>Bakgrundsdata!IN24</f>
        <v>8837496</v>
      </c>
      <c r="P5" s="93">
        <f>Bakgrundsdata!IO24</f>
        <v>8844499</v>
      </c>
      <c r="Q5" s="93">
        <f>Bakgrundsdata!IP24</f>
        <v>8847625</v>
      </c>
      <c r="R5" s="93">
        <f>Bakgrundsdata!IQ24</f>
        <v>8854322</v>
      </c>
      <c r="S5" s="93">
        <f>Bakgrundsdata!IR24</f>
        <v>8861426</v>
      </c>
      <c r="T5" s="93">
        <f>Bakgrundsdata!IS24</f>
        <v>8882792</v>
      </c>
      <c r="U5" s="93">
        <f>Bakgrundsdata!IT24</f>
        <v>8909128</v>
      </c>
      <c r="V5" s="93">
        <f>Bakgrundsdata!IU24</f>
        <v>8940788</v>
      </c>
      <c r="W5" s="93">
        <f>Bakgrundsdata!IV24</f>
        <v>8975670</v>
      </c>
      <c r="X5" s="93">
        <f>Bakgrundsdata!IW24</f>
        <v>9011392</v>
      </c>
      <c r="Y5" s="93">
        <f>Bakgrundsdata!IX24</f>
        <v>9047752</v>
      </c>
      <c r="Z5" s="93">
        <f>Bakgrundsdata!IY24</f>
        <v>9113257</v>
      </c>
      <c r="AA5" s="93">
        <f>Bakgrundsdata!IZ24</f>
        <v>9182927</v>
      </c>
      <c r="AB5" s="93">
        <f>Bakgrundsdata!JA24</f>
        <v>9256347</v>
      </c>
      <c r="AC5" s="93">
        <f>Bakgrundsdata!JB24</f>
        <v>9340682</v>
      </c>
    </row>
    <row r="6" spans="1:70">
      <c r="B6" s="90" t="s">
        <v>310</v>
      </c>
      <c r="C6" s="90">
        <f>(C4/C5)</f>
        <v>1.3644079464881947E-2</v>
      </c>
      <c r="D6" s="90">
        <f t="shared" ref="D6:AC6" si="0">D4/D5</f>
        <v>1.4538356710678815E-2</v>
      </c>
      <c r="E6" s="90">
        <f t="shared" si="0"/>
        <v>1.7083946557959851E-2</v>
      </c>
      <c r="F6" s="90">
        <f t="shared" si="0"/>
        <v>1.7130077318957253E-2</v>
      </c>
      <c r="G6" s="90">
        <f t="shared" si="0"/>
        <v>1.7391437664686694E-2</v>
      </c>
      <c r="H6" s="90">
        <f t="shared" si="0"/>
        <v>1.641232275448026E-2</v>
      </c>
      <c r="I6" s="90">
        <f t="shared" si="0"/>
        <v>1.6040157447441292E-2</v>
      </c>
      <c r="J6" s="90">
        <f t="shared" si="0"/>
        <v>1.5998826628547614E-2</v>
      </c>
      <c r="K6" s="90">
        <f t="shared" si="0"/>
        <v>1.7155941513530761E-2</v>
      </c>
      <c r="L6" s="90">
        <f t="shared" si="0"/>
        <v>1.6632510788927721E-2</v>
      </c>
      <c r="M6" s="90">
        <f t="shared" si="0"/>
        <v>1.7176915690816433E-2</v>
      </c>
      <c r="N6" s="90">
        <f t="shared" si="0"/>
        <v>1.7317309676158504E-2</v>
      </c>
      <c r="O6" s="90">
        <f t="shared" si="0"/>
        <v>1.7247419404772573E-2</v>
      </c>
      <c r="P6" s="90">
        <f t="shared" si="0"/>
        <v>1.7672114610448823E-2</v>
      </c>
      <c r="Q6" s="90">
        <f t="shared" si="0"/>
        <v>1.6893234059987852E-2</v>
      </c>
      <c r="R6" s="90">
        <f t="shared" si="0"/>
        <v>1.7049187955893177E-2</v>
      </c>
      <c r="S6" s="90">
        <f t="shared" si="0"/>
        <v>1.6799440631789963E-2</v>
      </c>
      <c r="T6" s="90">
        <f t="shared" si="0"/>
        <v>1.6633396346554103E-2</v>
      </c>
      <c r="U6" s="90">
        <f t="shared" si="0"/>
        <v>1.7537855556682989E-2</v>
      </c>
      <c r="V6" s="90">
        <f t="shared" si="0"/>
        <v>1.7187075680577597E-2</v>
      </c>
      <c r="W6" s="90">
        <f t="shared" si="0"/>
        <v>1.725709612764284E-2</v>
      </c>
      <c r="X6" s="90">
        <f t="shared" si="0"/>
        <v>1.7074387619581969E-2</v>
      </c>
      <c r="Y6" s="90">
        <f t="shared" si="0"/>
        <v>1.6801632051806903E-2</v>
      </c>
      <c r="Z6" s="90">
        <f t="shared" si="0"/>
        <v>1.6403136661239773E-2</v>
      </c>
      <c r="AA6" s="90">
        <f t="shared" si="0"/>
        <v>1.6119588013712841E-2</v>
      </c>
      <c r="AB6" s="90">
        <f t="shared" si="0"/>
        <v>1.6185434707665994E-2</v>
      </c>
      <c r="AC6" s="90">
        <f t="shared" si="0"/>
        <v>1.6300522809790548E-2</v>
      </c>
      <c r="AD6" s="90">
        <f t="shared" ref="AD6:BR6" si="1">AC6+$R$10</f>
        <v>1.640269370767165E-2</v>
      </c>
      <c r="AE6" s="90">
        <f t="shared" si="1"/>
        <v>1.6504864605552751E-2</v>
      </c>
      <c r="AF6" s="90">
        <f t="shared" si="1"/>
        <v>1.6607035503433853E-2</v>
      </c>
      <c r="AG6" s="90">
        <f t="shared" si="1"/>
        <v>1.6709206401314954E-2</v>
      </c>
      <c r="AH6" s="90">
        <f t="shared" si="1"/>
        <v>1.6811377299196056E-2</v>
      </c>
      <c r="AI6" s="90">
        <f t="shared" si="1"/>
        <v>1.6913548197077157E-2</v>
      </c>
      <c r="AJ6" s="90">
        <f t="shared" si="1"/>
        <v>1.7015719094958259E-2</v>
      </c>
      <c r="AK6" s="90">
        <f t="shared" si="1"/>
        <v>1.711788999283936E-2</v>
      </c>
      <c r="AL6" s="90">
        <f t="shared" si="1"/>
        <v>1.7220060890720462E-2</v>
      </c>
      <c r="AM6" s="90">
        <f t="shared" si="1"/>
        <v>1.7322231788601563E-2</v>
      </c>
      <c r="AN6" s="90">
        <f t="shared" si="1"/>
        <v>1.7424402686482664E-2</v>
      </c>
      <c r="AO6" s="90">
        <f t="shared" si="1"/>
        <v>1.7526573584363766E-2</v>
      </c>
      <c r="AP6" s="90">
        <f t="shared" si="1"/>
        <v>1.7628744482244867E-2</v>
      </c>
      <c r="AQ6" s="90">
        <f t="shared" si="1"/>
        <v>1.7730915380125969E-2</v>
      </c>
      <c r="AR6" s="90">
        <f t="shared" si="1"/>
        <v>1.783308627800707E-2</v>
      </c>
      <c r="AS6" s="90">
        <f t="shared" si="1"/>
        <v>1.7935257175888172E-2</v>
      </c>
      <c r="AT6" s="90">
        <f t="shared" si="1"/>
        <v>1.8037428073769273E-2</v>
      </c>
      <c r="AU6" s="90">
        <f t="shared" si="1"/>
        <v>1.8139598971650375E-2</v>
      </c>
      <c r="AV6" s="90">
        <f t="shared" si="1"/>
        <v>1.8241769869531476E-2</v>
      </c>
      <c r="AW6" s="90">
        <f t="shared" si="1"/>
        <v>1.8343940767412577E-2</v>
      </c>
      <c r="AX6" s="90">
        <f t="shared" si="1"/>
        <v>1.8446111665293679E-2</v>
      </c>
      <c r="AY6" s="90">
        <f t="shared" si="1"/>
        <v>1.854828256317478E-2</v>
      </c>
      <c r="AZ6" s="90">
        <f t="shared" si="1"/>
        <v>1.8650453461055882E-2</v>
      </c>
      <c r="BA6" s="90">
        <f t="shared" si="1"/>
        <v>1.8752624358936983E-2</v>
      </c>
      <c r="BB6" s="90">
        <f t="shared" si="1"/>
        <v>1.8854795256818085E-2</v>
      </c>
      <c r="BC6" s="90">
        <f t="shared" si="1"/>
        <v>1.8956966154699186E-2</v>
      </c>
      <c r="BD6" s="90">
        <f t="shared" si="1"/>
        <v>1.9059137052580288E-2</v>
      </c>
      <c r="BE6" s="90">
        <f t="shared" si="1"/>
        <v>1.9161307950461389E-2</v>
      </c>
      <c r="BF6" s="90">
        <f t="shared" si="1"/>
        <v>1.9263478848342491E-2</v>
      </c>
      <c r="BG6" s="90">
        <f t="shared" si="1"/>
        <v>1.9365649746223592E-2</v>
      </c>
      <c r="BH6" s="90">
        <f t="shared" si="1"/>
        <v>1.9467820644104693E-2</v>
      </c>
      <c r="BI6" s="90">
        <f t="shared" si="1"/>
        <v>1.9569991541985795E-2</v>
      </c>
      <c r="BJ6" s="90">
        <f t="shared" si="1"/>
        <v>1.9672162439866896E-2</v>
      </c>
      <c r="BK6" s="90">
        <f t="shared" si="1"/>
        <v>1.9774333337747998E-2</v>
      </c>
      <c r="BL6" s="90">
        <f t="shared" si="1"/>
        <v>1.9876504235629099E-2</v>
      </c>
      <c r="BM6" s="90">
        <f t="shared" si="1"/>
        <v>1.9978675133510201E-2</v>
      </c>
      <c r="BN6" s="90">
        <f t="shared" si="1"/>
        <v>2.0080846031391302E-2</v>
      </c>
      <c r="BO6" s="90">
        <f t="shared" si="1"/>
        <v>2.0183016929272404E-2</v>
      </c>
      <c r="BP6" s="90">
        <f t="shared" si="1"/>
        <v>2.0285187827153505E-2</v>
      </c>
      <c r="BQ6" s="90">
        <f t="shared" si="1"/>
        <v>2.0387358725034607E-2</v>
      </c>
      <c r="BR6" s="90">
        <f t="shared" si="1"/>
        <v>2.0489529622915708E-2</v>
      </c>
    </row>
    <row r="7" spans="1:70">
      <c r="A7" s="90" t="s">
        <v>304</v>
      </c>
      <c r="B7" s="90" t="s">
        <v>303</v>
      </c>
    </row>
    <row r="8" spans="1:70">
      <c r="S8" s="73"/>
    </row>
    <row r="9" spans="1:70">
      <c r="A9" s="90" t="s">
        <v>302</v>
      </c>
      <c r="B9" s="90" t="s">
        <v>301</v>
      </c>
      <c r="Q9" s="73"/>
      <c r="R9" s="73"/>
      <c r="S9" s="73"/>
    </row>
    <row r="10" spans="1:70">
      <c r="Q10" s="73" t="s">
        <v>308</v>
      </c>
      <c r="R10" s="73">
        <f>(AC6-C6)/(AC3-C3)</f>
        <v>1.0217089788110006E-4</v>
      </c>
      <c r="S10" s="73"/>
    </row>
    <row r="11" spans="1:70">
      <c r="A11" s="90" t="s">
        <v>300</v>
      </c>
      <c r="B11" s="90" t="s">
        <v>299</v>
      </c>
      <c r="Q11" s="73"/>
      <c r="R11" s="73"/>
      <c r="S11" s="73"/>
    </row>
    <row r="12" spans="1:70">
      <c r="B12" s="90" t="s">
        <v>298</v>
      </c>
      <c r="Q12" s="73" t="s">
        <v>311</v>
      </c>
      <c r="R12" s="73">
        <f>AD6</f>
        <v>1.640269370767165E-2</v>
      </c>
      <c r="S12" s="73">
        <f>R12/$R$12</f>
        <v>1</v>
      </c>
    </row>
    <row r="13" spans="1:70">
      <c r="B13" s="90" t="s">
        <v>297</v>
      </c>
      <c r="Q13" s="73" t="s">
        <v>312</v>
      </c>
      <c r="R13" s="73">
        <f>AX6</f>
        <v>1.8446111665293679E-2</v>
      </c>
      <c r="S13" s="73">
        <f t="shared" ref="S13:S14" si="2">R13/$R$12</f>
        <v>1.1245781939259347</v>
      </c>
    </row>
    <row r="14" spans="1:70">
      <c r="B14" s="90" t="s">
        <v>296</v>
      </c>
      <c r="Q14" s="73" t="s">
        <v>313</v>
      </c>
      <c r="R14" s="73">
        <f>BR6</f>
        <v>2.0489529622915708E-2</v>
      </c>
      <c r="S14" s="73">
        <f t="shared" si="2"/>
        <v>1.2491563878518697</v>
      </c>
    </row>
    <row r="15" spans="1:70">
      <c r="B15" s="90" t="s">
        <v>295</v>
      </c>
      <c r="Q15" s="73"/>
      <c r="R15" s="73"/>
      <c r="S15" s="73"/>
    </row>
    <row r="16" spans="1:70">
      <c r="B16" s="90" t="s">
        <v>294</v>
      </c>
      <c r="Q16" s="73"/>
      <c r="R16" s="73"/>
      <c r="S16" s="73"/>
    </row>
    <row r="17" spans="1:19">
      <c r="B17" s="90" t="s">
        <v>293</v>
      </c>
      <c r="Q17" s="73"/>
      <c r="R17" s="73"/>
      <c r="S17" s="73"/>
    </row>
    <row r="18" spans="1:19">
      <c r="B18" s="90" t="s">
        <v>292</v>
      </c>
      <c r="Q18" s="73"/>
      <c r="R18" s="73"/>
      <c r="S18" s="51"/>
    </row>
    <row r="19" spans="1:19">
      <c r="Q19" s="73"/>
      <c r="R19" s="73"/>
      <c r="S19" s="51"/>
    </row>
    <row r="20" spans="1:19">
      <c r="Q20" s="73"/>
      <c r="R20" s="73"/>
      <c r="S20" s="51"/>
    </row>
    <row r="21" spans="1:19">
      <c r="A21" s="90" t="s">
        <v>291</v>
      </c>
      <c r="B21" s="90" t="s">
        <v>290</v>
      </c>
      <c r="Q21" s="73"/>
      <c r="R21" s="73"/>
      <c r="S21" s="51"/>
    </row>
    <row r="22" spans="1:19">
      <c r="Q22" s="73"/>
      <c r="R22" s="73"/>
      <c r="S22" s="51"/>
    </row>
    <row r="23" spans="1:19">
      <c r="A23" s="90" t="s">
        <v>289</v>
      </c>
      <c r="B23" s="90" t="s">
        <v>288</v>
      </c>
      <c r="Q23" s="73"/>
      <c r="R23" s="73"/>
      <c r="S23" s="51"/>
    </row>
    <row r="24" spans="1:19">
      <c r="Q24" s="73"/>
      <c r="R24" s="73"/>
      <c r="S24" s="51"/>
    </row>
    <row r="25" spans="1:19">
      <c r="A25" s="90" t="s">
        <v>287</v>
      </c>
      <c r="B25" s="90" t="s">
        <v>286</v>
      </c>
    </row>
    <row r="27" spans="1:19">
      <c r="A27" s="90" t="s">
        <v>285</v>
      </c>
      <c r="B27" s="90">
        <v>1999</v>
      </c>
    </row>
    <row r="32" spans="1:19">
      <c r="A32" s="90" t="s">
        <v>284</v>
      </c>
      <c r="B32" s="90" t="s">
        <v>283</v>
      </c>
    </row>
    <row r="34" spans="1:2">
      <c r="A34" s="90" t="s">
        <v>282</v>
      </c>
      <c r="B34" s="90" t="s">
        <v>281</v>
      </c>
    </row>
  </sheetData>
  <pageMargins left="0.75" right="0.75" top="0.75" bottom="0.5" header="0.5" footer="0.75"/>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A47"/>
  <sheetViews>
    <sheetView workbookViewId="0">
      <selection activeCell="CW54" sqref="CW54"/>
    </sheetView>
  </sheetViews>
  <sheetFormatPr defaultRowHeight="15"/>
  <cols>
    <col min="1" max="1" width="10.5703125" bestFit="1" customWidth="1"/>
    <col min="2" max="2" width="11.5703125" bestFit="1" customWidth="1"/>
    <col min="38" max="38" width="12" bestFit="1" customWidth="1"/>
  </cols>
  <sheetData>
    <row r="1" spans="1:62" s="66" customFormat="1">
      <c r="A1" s="66" t="s">
        <v>276</v>
      </c>
    </row>
    <row r="2" spans="1:62">
      <c r="A2" t="s">
        <v>272</v>
      </c>
    </row>
    <row r="3" spans="1:62">
      <c r="B3" s="46">
        <v>1990</v>
      </c>
      <c r="C3" s="46">
        <v>1991</v>
      </c>
      <c r="D3" s="46">
        <v>1992</v>
      </c>
      <c r="E3" s="46">
        <v>1993</v>
      </c>
      <c r="F3" s="46">
        <v>1994</v>
      </c>
      <c r="G3" s="46">
        <v>1995</v>
      </c>
      <c r="H3" s="46">
        <v>1996</v>
      </c>
      <c r="I3" s="46">
        <v>1997</v>
      </c>
      <c r="J3" s="46">
        <v>1998</v>
      </c>
      <c r="K3" s="46">
        <v>1999</v>
      </c>
      <c r="L3" s="46">
        <v>2000</v>
      </c>
      <c r="M3" s="46">
        <v>2001</v>
      </c>
      <c r="N3" s="46">
        <v>2002</v>
      </c>
      <c r="O3" s="46">
        <v>2003</v>
      </c>
      <c r="P3" s="46">
        <v>2004</v>
      </c>
      <c r="Q3" s="46">
        <v>2005</v>
      </c>
      <c r="R3" s="46">
        <v>2006</v>
      </c>
      <c r="S3" s="46">
        <v>2007</v>
      </c>
      <c r="T3" s="46">
        <v>2008</v>
      </c>
      <c r="U3" s="46">
        <v>2009</v>
      </c>
      <c r="V3" s="46">
        <v>2010</v>
      </c>
      <c r="W3" s="46">
        <v>2011</v>
      </c>
      <c r="X3" s="46">
        <v>2012</v>
      </c>
      <c r="Y3" s="49">
        <v>2013</v>
      </c>
      <c r="Z3" s="49">
        <v>2014</v>
      </c>
      <c r="AA3" s="49">
        <v>2015</v>
      </c>
      <c r="AB3" s="49">
        <v>2016</v>
      </c>
      <c r="AC3" s="49">
        <v>2017</v>
      </c>
      <c r="AD3" s="49">
        <v>2018</v>
      </c>
      <c r="AE3" s="49">
        <v>2019</v>
      </c>
      <c r="AF3" s="49">
        <v>2020</v>
      </c>
      <c r="AG3" s="49">
        <v>2021</v>
      </c>
      <c r="AH3" s="49">
        <v>2022</v>
      </c>
      <c r="AI3" s="49">
        <v>2023</v>
      </c>
      <c r="AJ3" s="49">
        <v>2024</v>
      </c>
      <c r="AK3" s="49">
        <v>2025</v>
      </c>
      <c r="AL3" s="50">
        <v>2026</v>
      </c>
      <c r="AM3" s="50">
        <v>2027</v>
      </c>
      <c r="AN3" s="50">
        <v>2028</v>
      </c>
      <c r="AO3" s="50">
        <v>2029</v>
      </c>
      <c r="AP3" s="50">
        <v>2030</v>
      </c>
      <c r="AQ3" s="50">
        <v>2031</v>
      </c>
      <c r="AR3" s="50">
        <v>2032</v>
      </c>
      <c r="AS3" s="50">
        <v>2033</v>
      </c>
      <c r="AT3" s="50">
        <v>2034</v>
      </c>
      <c r="AU3" s="50">
        <v>2035</v>
      </c>
      <c r="AV3" s="50">
        <v>2036</v>
      </c>
      <c r="AW3" s="50">
        <v>2037</v>
      </c>
      <c r="AX3" s="50">
        <v>2038</v>
      </c>
      <c r="AY3" s="50">
        <v>2039</v>
      </c>
      <c r="AZ3" s="50">
        <v>2040</v>
      </c>
      <c r="BA3" s="50">
        <v>2041</v>
      </c>
      <c r="BB3" s="50">
        <v>2042</v>
      </c>
      <c r="BC3" s="50">
        <v>2043</v>
      </c>
      <c r="BD3" s="50">
        <v>2044</v>
      </c>
      <c r="BE3" s="50">
        <v>2045</v>
      </c>
      <c r="BF3" s="50">
        <v>2046</v>
      </c>
      <c r="BG3" s="50">
        <v>2047</v>
      </c>
      <c r="BH3" s="50">
        <v>2048</v>
      </c>
      <c r="BI3" s="50">
        <v>2049</v>
      </c>
      <c r="BJ3" s="50">
        <v>2050</v>
      </c>
    </row>
    <row r="4" spans="1:62" ht="15.75" thickBot="1">
      <c r="A4" s="45" t="s">
        <v>274</v>
      </c>
      <c r="B4" s="44">
        <v>432035</v>
      </c>
      <c r="C4" s="44">
        <v>431155</v>
      </c>
      <c r="D4" s="44">
        <v>432765</v>
      </c>
      <c r="E4" s="44">
        <v>436250</v>
      </c>
      <c r="F4" s="44">
        <v>444244</v>
      </c>
      <c r="G4" s="44">
        <v>448998</v>
      </c>
      <c r="H4" s="44">
        <v>453850</v>
      </c>
      <c r="I4" s="44">
        <v>456506</v>
      </c>
      <c r="J4" s="44">
        <v>459556</v>
      </c>
      <c r="K4" s="44">
        <v>462309</v>
      </c>
      <c r="L4" s="44">
        <v>467029</v>
      </c>
      <c r="M4" s="44">
        <v>471328</v>
      </c>
      <c r="N4" s="44">
        <v>474877</v>
      </c>
      <c r="O4" s="44">
        <v>478054</v>
      </c>
      <c r="P4" s="44">
        <v>481409</v>
      </c>
      <c r="Q4" s="44">
        <v>484993</v>
      </c>
      <c r="R4" s="44">
        <v>489797</v>
      </c>
      <c r="S4" s="44">
        <v>493498</v>
      </c>
      <c r="T4" s="44">
        <v>500181</v>
      </c>
      <c r="U4" s="44">
        <v>507328</v>
      </c>
      <c r="V4" s="44">
        <v>513726</v>
      </c>
      <c r="W4" s="44">
        <v>520358</v>
      </c>
      <c r="X4" s="44">
        <v>526089</v>
      </c>
      <c r="Y4" s="48">
        <v>532366.42332650488</v>
      </c>
      <c r="Z4" s="48">
        <v>538813.42751486506</v>
      </c>
      <c r="AA4" s="48">
        <v>544929.46179550781</v>
      </c>
      <c r="AB4" s="48">
        <v>551149.73988951987</v>
      </c>
      <c r="AC4" s="48">
        <v>557466.68882349029</v>
      </c>
      <c r="AD4" s="48">
        <v>563865.40847259003</v>
      </c>
      <c r="AE4" s="48">
        <v>570338.14204012731</v>
      </c>
      <c r="AF4" s="48">
        <v>576875.92616538797</v>
      </c>
      <c r="AG4" s="48">
        <v>583465.96903595247</v>
      </c>
      <c r="AH4" s="48">
        <v>590101.42911455675</v>
      </c>
      <c r="AI4" s="48">
        <v>596773.19410423224</v>
      </c>
      <c r="AJ4" s="48">
        <v>603432.74022590066</v>
      </c>
      <c r="AK4" s="48">
        <v>610114.69461465627</v>
      </c>
      <c r="AL4">
        <f>AK4*(1+AL5)</f>
        <v>617108.70757628139</v>
      </c>
      <c r="AM4" s="47">
        <f t="shared" ref="AM4:BJ4" si="0">AL4*(1+AM5)</f>
        <v>624182.89598317794</v>
      </c>
      <c r="AN4" s="47">
        <f t="shared" si="0"/>
        <v>631338.17892172164</v>
      </c>
      <c r="AO4" s="47">
        <f t="shared" si="0"/>
        <v>638575.4860141793</v>
      </c>
      <c r="AP4" s="47">
        <f t="shared" si="0"/>
        <v>645895.75753948651</v>
      </c>
      <c r="AQ4" s="47">
        <f t="shared" si="0"/>
        <v>653299.94455540972</v>
      </c>
      <c r="AR4" s="47">
        <f t="shared" si="0"/>
        <v>660789.00902210863</v>
      </c>
      <c r="AS4" s="47">
        <f t="shared" si="0"/>
        <v>668363.92392711504</v>
      </c>
      <c r="AT4" s="47">
        <f t="shared" si="0"/>
        <v>676025.67341174476</v>
      </c>
      <c r="AU4" s="47">
        <f t="shared" si="0"/>
        <v>683775.25289895793</v>
      </c>
      <c r="AV4" s="47">
        <f t="shared" si="0"/>
        <v>691613.66922268586</v>
      </c>
      <c r="AW4" s="47">
        <f t="shared" si="0"/>
        <v>699541.94075863971</v>
      </c>
      <c r="AX4" s="47">
        <f t="shared" si="0"/>
        <v>707561.09755661921</v>
      </c>
      <c r="AY4" s="47">
        <f t="shared" si="0"/>
        <v>715672.1814743377</v>
      </c>
      <c r="AZ4" s="47">
        <f t="shared" si="0"/>
        <v>723876.24631278159</v>
      </c>
      <c r="BA4" s="47">
        <f t="shared" si="0"/>
        <v>732174.35795312119</v>
      </c>
      <c r="BB4" s="47">
        <f t="shared" si="0"/>
        <v>740567.59449519124</v>
      </c>
      <c r="BC4" s="47">
        <f t="shared" si="0"/>
        <v>749057.04639755888</v>
      </c>
      <c r="BD4" s="47">
        <f t="shared" si="0"/>
        <v>757643.81661919726</v>
      </c>
      <c r="BE4" s="47">
        <f t="shared" si="0"/>
        <v>766329.02076278301</v>
      </c>
      <c r="BF4" s="47">
        <f t="shared" si="0"/>
        <v>775113.78721963672</v>
      </c>
      <c r="BG4" s="47">
        <f t="shared" si="0"/>
        <v>783999.25731632474</v>
      </c>
      <c r="BH4" s="47">
        <f t="shared" si="0"/>
        <v>792986.58546294156</v>
      </c>
      <c r="BI4" s="47">
        <f t="shared" si="0"/>
        <v>802076.93930309208</v>
      </c>
      <c r="BJ4" s="47">
        <f t="shared" si="0"/>
        <v>811271.49986559327</v>
      </c>
    </row>
    <row r="5" spans="1:62" s="51" customFormat="1">
      <c r="C5" s="51">
        <f>(C4-B4)/B4</f>
        <v>-2.0368720126841574E-3</v>
      </c>
      <c r="D5" s="51">
        <f t="shared" ref="D5:AK5" si="1">(D4-C4)/C4</f>
        <v>3.7341559300019716E-3</v>
      </c>
      <c r="E5" s="51">
        <f t="shared" si="1"/>
        <v>8.0528693401730727E-3</v>
      </c>
      <c r="F5" s="51">
        <f t="shared" si="1"/>
        <v>1.8324355300859598E-2</v>
      </c>
      <c r="G5" s="51">
        <f t="shared" si="1"/>
        <v>1.0701326298160471E-2</v>
      </c>
      <c r="H5" s="51">
        <f t="shared" si="1"/>
        <v>1.0806284215074454E-2</v>
      </c>
      <c r="I5" s="51">
        <f t="shared" si="1"/>
        <v>5.8521537953068192E-3</v>
      </c>
      <c r="J5" s="51">
        <f t="shared" si="1"/>
        <v>6.6811827226805343E-3</v>
      </c>
      <c r="K5" s="51">
        <f t="shared" si="1"/>
        <v>5.9905648060301683E-3</v>
      </c>
      <c r="L5" s="51">
        <f t="shared" si="1"/>
        <v>1.020962170323312E-2</v>
      </c>
      <c r="M5" s="51">
        <f t="shared" si="1"/>
        <v>9.2049958353763901E-3</v>
      </c>
      <c r="N5" s="51">
        <f t="shared" si="1"/>
        <v>7.5297881729920564E-3</v>
      </c>
      <c r="O5" s="51">
        <f t="shared" si="1"/>
        <v>6.6901534502618572E-3</v>
      </c>
      <c r="P5" s="51">
        <f t="shared" si="1"/>
        <v>7.0180356194070124E-3</v>
      </c>
      <c r="Q5" s="51">
        <f t="shared" si="1"/>
        <v>7.4448130383935485E-3</v>
      </c>
      <c r="R5" s="51">
        <f t="shared" si="1"/>
        <v>9.9052976022334337E-3</v>
      </c>
      <c r="S5" s="51">
        <f>(S4-R4)/R4</f>
        <v>7.5561916467434464E-3</v>
      </c>
      <c r="T5" s="51">
        <f t="shared" si="1"/>
        <v>1.3542101487746658E-2</v>
      </c>
      <c r="U5" s="51">
        <f t="shared" si="1"/>
        <v>1.4288827444465104E-2</v>
      </c>
      <c r="V5" s="51">
        <f t="shared" si="1"/>
        <v>1.2611170682477609E-2</v>
      </c>
      <c r="W5" s="51">
        <f t="shared" si="1"/>
        <v>1.2909605509551784E-2</v>
      </c>
      <c r="X5" s="51">
        <f t="shared" si="1"/>
        <v>1.1013571425826065E-2</v>
      </c>
      <c r="Y5" s="51">
        <f t="shared" si="1"/>
        <v>1.1932245925128414E-2</v>
      </c>
      <c r="Z5" s="51">
        <f t="shared" si="1"/>
        <v>1.2110087912900131E-2</v>
      </c>
      <c r="AA5" s="51">
        <f t="shared" si="1"/>
        <v>1.1350931451080102E-2</v>
      </c>
      <c r="AB5" s="51">
        <f>(AB4-AA4)/AA4</f>
        <v>1.1414831698614052E-2</v>
      </c>
      <c r="AC5" s="51">
        <f t="shared" si="1"/>
        <v>1.1461402368141683E-2</v>
      </c>
      <c r="AD5" s="51">
        <f t="shared" si="1"/>
        <v>1.1478209868654162E-2</v>
      </c>
      <c r="AE5" s="51">
        <f t="shared" si="1"/>
        <v>1.1479217327891677E-2</v>
      </c>
      <c r="AF5" s="51">
        <f t="shared" si="1"/>
        <v>1.1462996498664261E-2</v>
      </c>
      <c r="AG5" s="51">
        <f t="shared" si="1"/>
        <v>1.1423674609495083E-2</v>
      </c>
      <c r="AH5" s="51">
        <f t="shared" si="1"/>
        <v>1.1372488595295294E-2</v>
      </c>
      <c r="AI5" s="51">
        <f t="shared" si="1"/>
        <v>1.1306132573999062E-2</v>
      </c>
      <c r="AJ5" s="51">
        <f t="shared" si="1"/>
        <v>1.1159258136023559E-2</v>
      </c>
      <c r="AK5" s="51">
        <f t="shared" si="1"/>
        <v>1.1073238065031332E-2</v>
      </c>
      <c r="AL5" s="51">
        <f>AVERAGE($Y$5:$AK$5)</f>
        <v>1.1463439617762987E-2</v>
      </c>
      <c r="AM5" s="51">
        <f t="shared" ref="AM5:BJ5" si="2">AVERAGE($Y$5:$AK$5)</f>
        <v>1.1463439617762987E-2</v>
      </c>
      <c r="AN5" s="51">
        <f t="shared" si="2"/>
        <v>1.1463439617762987E-2</v>
      </c>
      <c r="AO5" s="51">
        <f t="shared" si="2"/>
        <v>1.1463439617762987E-2</v>
      </c>
      <c r="AP5" s="51">
        <f t="shared" si="2"/>
        <v>1.1463439617762987E-2</v>
      </c>
      <c r="AQ5" s="51">
        <f t="shared" si="2"/>
        <v>1.1463439617762987E-2</v>
      </c>
      <c r="AR5" s="51">
        <f>AVERAGE($Y$5:$AK$5)</f>
        <v>1.1463439617762987E-2</v>
      </c>
      <c r="AS5" s="51">
        <f t="shared" si="2"/>
        <v>1.1463439617762987E-2</v>
      </c>
      <c r="AT5" s="51">
        <f t="shared" si="2"/>
        <v>1.1463439617762987E-2</v>
      </c>
      <c r="AU5" s="51">
        <f t="shared" si="2"/>
        <v>1.1463439617762987E-2</v>
      </c>
      <c r="AV5" s="51">
        <f t="shared" si="2"/>
        <v>1.1463439617762987E-2</v>
      </c>
      <c r="AW5" s="51">
        <f t="shared" si="2"/>
        <v>1.1463439617762987E-2</v>
      </c>
      <c r="AX5" s="51">
        <f t="shared" si="2"/>
        <v>1.1463439617762987E-2</v>
      </c>
      <c r="AY5" s="51">
        <f t="shared" si="2"/>
        <v>1.1463439617762987E-2</v>
      </c>
      <c r="AZ5" s="51">
        <f t="shared" si="2"/>
        <v>1.1463439617762987E-2</v>
      </c>
      <c r="BA5" s="51">
        <f t="shared" si="2"/>
        <v>1.1463439617762987E-2</v>
      </c>
      <c r="BB5" s="51">
        <f t="shared" si="2"/>
        <v>1.1463439617762987E-2</v>
      </c>
      <c r="BC5" s="51">
        <f t="shared" si="2"/>
        <v>1.1463439617762987E-2</v>
      </c>
      <c r="BD5" s="51">
        <f t="shared" si="2"/>
        <v>1.1463439617762987E-2</v>
      </c>
      <c r="BE5" s="51">
        <f t="shared" si="2"/>
        <v>1.1463439617762987E-2</v>
      </c>
      <c r="BF5" s="51">
        <f t="shared" si="2"/>
        <v>1.1463439617762987E-2</v>
      </c>
      <c r="BG5" s="51">
        <f t="shared" si="2"/>
        <v>1.1463439617762987E-2</v>
      </c>
      <c r="BH5" s="51">
        <f t="shared" si="2"/>
        <v>1.1463439617762987E-2</v>
      </c>
      <c r="BI5" s="51">
        <f t="shared" si="2"/>
        <v>1.1463439617762987E-2</v>
      </c>
      <c r="BJ5" s="51">
        <f t="shared" si="2"/>
        <v>1.1463439617762987E-2</v>
      </c>
    </row>
    <row r="7" spans="1:62">
      <c r="Y7" s="51">
        <f>1+Y5</f>
        <v>1.0119322459251283</v>
      </c>
      <c r="Z7" s="51">
        <f t="shared" ref="Z7:AK7" si="3">1+Z5</f>
        <v>1.0121100879129001</v>
      </c>
      <c r="AA7" s="51">
        <f t="shared" si="3"/>
        <v>1.01135093145108</v>
      </c>
      <c r="AB7" s="51">
        <f t="shared" si="3"/>
        <v>1.011414831698614</v>
      </c>
      <c r="AC7" s="51">
        <f t="shared" si="3"/>
        <v>1.0114614023681416</v>
      </c>
      <c r="AD7" s="51">
        <f t="shared" si="3"/>
        <v>1.0114782098686541</v>
      </c>
      <c r="AE7" s="51">
        <f t="shared" si="3"/>
        <v>1.0114792173278917</v>
      </c>
      <c r="AF7" s="51">
        <f t="shared" si="3"/>
        <v>1.0114629964986643</v>
      </c>
      <c r="AG7" s="51">
        <f t="shared" si="3"/>
        <v>1.0114236746094951</v>
      </c>
      <c r="AH7" s="51">
        <f t="shared" si="3"/>
        <v>1.0113724885952953</v>
      </c>
      <c r="AI7" s="51">
        <f t="shared" si="3"/>
        <v>1.0113061325739992</v>
      </c>
      <c r="AJ7" s="51">
        <f t="shared" si="3"/>
        <v>1.0111592581360236</v>
      </c>
      <c r="AK7" s="51">
        <f t="shared" si="3"/>
        <v>1.0110732380650314</v>
      </c>
      <c r="AP7" s="51">
        <f>AP4/B4</f>
        <v>1.4950079450495597</v>
      </c>
      <c r="BJ7" s="51">
        <f>BJ4/V4</f>
        <v>1.5791910471060318</v>
      </c>
    </row>
    <row r="8" spans="1:62">
      <c r="AK8" s="51">
        <f>Y7*Z7*AA7*AB7*AC7*AD7*AE7*AF7*AG7*AH7*AI7*AJ7*AK7</f>
        <v>1.1597176420998279</v>
      </c>
      <c r="AP8">
        <f>(AP4-V4)/V4</f>
        <v>0.25727675363809993</v>
      </c>
    </row>
    <row r="9" spans="1:62">
      <c r="AK9" s="51">
        <f>AK8^(1/13)</f>
        <v>1.0114634041541479</v>
      </c>
    </row>
    <row r="22" spans="1:313" s="66" customFormat="1">
      <c r="A22" s="66" t="s">
        <v>275</v>
      </c>
    </row>
    <row r="23" spans="1:313">
      <c r="A23" s="52" t="s">
        <v>273</v>
      </c>
      <c r="B23" s="54">
        <v>1749</v>
      </c>
      <c r="C23" s="54">
        <v>1750</v>
      </c>
      <c r="D23" s="54">
        <v>1751</v>
      </c>
      <c r="E23" s="54">
        <v>1752</v>
      </c>
      <c r="F23" s="54">
        <v>1753</v>
      </c>
      <c r="G23" s="54">
        <v>1754</v>
      </c>
      <c r="H23" s="54">
        <v>1755</v>
      </c>
      <c r="I23" s="54">
        <v>1756</v>
      </c>
      <c r="J23" s="54">
        <v>1757</v>
      </c>
      <c r="K23" s="54">
        <v>1758</v>
      </c>
      <c r="L23" s="54">
        <v>1759</v>
      </c>
      <c r="M23" s="54">
        <v>1760</v>
      </c>
      <c r="N23" s="54">
        <v>1761</v>
      </c>
      <c r="O23" s="54">
        <v>1762</v>
      </c>
      <c r="P23" s="54">
        <v>1763</v>
      </c>
      <c r="Q23" s="54">
        <v>1764</v>
      </c>
      <c r="R23" s="54">
        <v>1765</v>
      </c>
      <c r="S23" s="54">
        <v>1766</v>
      </c>
      <c r="T23" s="54">
        <v>1767</v>
      </c>
      <c r="U23" s="54">
        <v>1768</v>
      </c>
      <c r="V23" s="54">
        <v>1769</v>
      </c>
      <c r="W23" s="54">
        <v>1770</v>
      </c>
      <c r="X23" s="54">
        <v>1771</v>
      </c>
      <c r="Y23" s="54">
        <v>1772</v>
      </c>
      <c r="Z23" s="54">
        <v>1773</v>
      </c>
      <c r="AA23" s="54">
        <v>1774</v>
      </c>
      <c r="AB23" s="54">
        <v>1775</v>
      </c>
      <c r="AC23" s="54">
        <v>1776</v>
      </c>
      <c r="AD23" s="54">
        <v>1777</v>
      </c>
      <c r="AE23" s="54">
        <v>1778</v>
      </c>
      <c r="AF23" s="54">
        <v>1779</v>
      </c>
      <c r="AG23" s="54">
        <v>1780</v>
      </c>
      <c r="AH23" s="54">
        <v>1781</v>
      </c>
      <c r="AI23" s="54">
        <v>1782</v>
      </c>
      <c r="AJ23" s="54">
        <v>1783</v>
      </c>
      <c r="AK23" s="54">
        <v>1784</v>
      </c>
      <c r="AL23" s="54">
        <v>1785</v>
      </c>
      <c r="AM23" s="54">
        <v>1786</v>
      </c>
      <c r="AN23" s="54">
        <v>1787</v>
      </c>
      <c r="AO23" s="54">
        <v>1788</v>
      </c>
      <c r="AP23" s="54">
        <v>1789</v>
      </c>
      <c r="AQ23" s="54">
        <v>1790</v>
      </c>
      <c r="AR23" s="54">
        <v>1791</v>
      </c>
      <c r="AS23" s="54">
        <v>1792</v>
      </c>
      <c r="AT23" s="54">
        <v>1793</v>
      </c>
      <c r="AU23" s="54">
        <v>1794</v>
      </c>
      <c r="AV23" s="54">
        <v>1795</v>
      </c>
      <c r="AW23" s="54">
        <v>1796</v>
      </c>
      <c r="AX23" s="54">
        <v>1797</v>
      </c>
      <c r="AY23" s="54">
        <v>1798</v>
      </c>
      <c r="AZ23" s="54">
        <v>1799</v>
      </c>
      <c r="BA23" s="54">
        <v>1800</v>
      </c>
      <c r="BB23" s="54">
        <v>1801</v>
      </c>
      <c r="BC23" s="54">
        <v>1802</v>
      </c>
      <c r="BD23" s="54">
        <v>1803</v>
      </c>
      <c r="BE23" s="54">
        <v>1804</v>
      </c>
      <c r="BF23" s="54">
        <v>1805</v>
      </c>
      <c r="BG23" s="54">
        <v>1806</v>
      </c>
      <c r="BH23" s="54">
        <v>1807</v>
      </c>
      <c r="BI23" s="54">
        <v>1808</v>
      </c>
      <c r="BJ23" s="54">
        <v>1809</v>
      </c>
      <c r="BK23" s="54">
        <v>1810</v>
      </c>
      <c r="BL23" s="54">
        <v>1811</v>
      </c>
      <c r="BM23" s="54">
        <v>1812</v>
      </c>
      <c r="BN23" s="54">
        <v>1813</v>
      </c>
      <c r="BO23" s="54">
        <v>1814</v>
      </c>
      <c r="BP23" s="54">
        <v>1815</v>
      </c>
      <c r="BQ23" s="54">
        <v>1816</v>
      </c>
      <c r="BR23" s="54">
        <v>1817</v>
      </c>
      <c r="BS23" s="54">
        <v>1818</v>
      </c>
      <c r="BT23" s="54">
        <v>1819</v>
      </c>
      <c r="BU23" s="54">
        <v>1820</v>
      </c>
      <c r="BV23" s="54">
        <v>1821</v>
      </c>
      <c r="BW23" s="54">
        <v>1822</v>
      </c>
      <c r="BX23" s="54">
        <v>1823</v>
      </c>
      <c r="BY23" s="54">
        <v>1824</v>
      </c>
      <c r="BZ23" s="54">
        <v>1825</v>
      </c>
      <c r="CA23" s="54">
        <v>1826</v>
      </c>
      <c r="CB23" s="54">
        <v>1827</v>
      </c>
      <c r="CC23" s="54">
        <v>1828</v>
      </c>
      <c r="CD23" s="54">
        <v>1829</v>
      </c>
      <c r="CE23" s="54">
        <v>1830</v>
      </c>
      <c r="CF23" s="54">
        <v>1831</v>
      </c>
      <c r="CG23" s="54">
        <v>1832</v>
      </c>
      <c r="CH23" s="54">
        <v>1833</v>
      </c>
      <c r="CI23" s="54">
        <v>1834</v>
      </c>
      <c r="CJ23" s="54">
        <v>1835</v>
      </c>
      <c r="CK23" s="54">
        <v>1836</v>
      </c>
      <c r="CL23" s="54">
        <v>1837</v>
      </c>
      <c r="CM23" s="54">
        <v>1838</v>
      </c>
      <c r="CN23" s="54">
        <v>1839</v>
      </c>
      <c r="CO23" s="54">
        <v>1840</v>
      </c>
      <c r="CP23" s="54">
        <v>1841</v>
      </c>
      <c r="CQ23" s="54">
        <v>1842</v>
      </c>
      <c r="CR23" s="54">
        <v>1843</v>
      </c>
      <c r="CS23" s="54">
        <v>1844</v>
      </c>
      <c r="CT23" s="54">
        <v>1845</v>
      </c>
      <c r="CU23" s="54">
        <v>1846</v>
      </c>
      <c r="CV23" s="54">
        <v>1847</v>
      </c>
      <c r="CW23" s="54">
        <v>1848</v>
      </c>
      <c r="CX23" s="54">
        <v>1849</v>
      </c>
      <c r="CY23" s="54">
        <v>1850</v>
      </c>
      <c r="CZ23" s="54">
        <v>1851</v>
      </c>
      <c r="DA23" s="54">
        <v>1852</v>
      </c>
      <c r="DB23" s="54">
        <v>1853</v>
      </c>
      <c r="DC23" s="54">
        <v>1854</v>
      </c>
      <c r="DD23" s="54">
        <v>1855</v>
      </c>
      <c r="DE23" s="54">
        <v>1856</v>
      </c>
      <c r="DF23" s="54">
        <v>1857</v>
      </c>
      <c r="DG23" s="54">
        <v>1858</v>
      </c>
      <c r="DH23" s="54">
        <v>1859</v>
      </c>
      <c r="DI23" s="54">
        <v>1860</v>
      </c>
      <c r="DJ23" s="54">
        <v>1861</v>
      </c>
      <c r="DK23" s="54">
        <v>1862</v>
      </c>
      <c r="DL23" s="54">
        <v>1863</v>
      </c>
      <c r="DM23" s="54">
        <v>1864</v>
      </c>
      <c r="DN23" s="54">
        <v>1865</v>
      </c>
      <c r="DO23" s="54">
        <v>1866</v>
      </c>
      <c r="DP23" s="54">
        <v>1867</v>
      </c>
      <c r="DQ23" s="54">
        <v>1868</v>
      </c>
      <c r="DR23" s="54">
        <v>1869</v>
      </c>
      <c r="DS23" s="54">
        <v>1870</v>
      </c>
      <c r="DT23" s="54">
        <v>1871</v>
      </c>
      <c r="DU23" s="54">
        <v>1872</v>
      </c>
      <c r="DV23" s="54">
        <v>1873</v>
      </c>
      <c r="DW23" s="54">
        <v>1874</v>
      </c>
      <c r="DX23" s="54">
        <v>1875</v>
      </c>
      <c r="DY23" s="54">
        <v>1876</v>
      </c>
      <c r="DZ23" s="54">
        <v>1877</v>
      </c>
      <c r="EA23" s="54">
        <v>1878</v>
      </c>
      <c r="EB23" s="54">
        <v>1879</v>
      </c>
      <c r="EC23" s="54">
        <v>1880</v>
      </c>
      <c r="ED23" s="54">
        <v>1881</v>
      </c>
      <c r="EE23" s="54">
        <v>1882</v>
      </c>
      <c r="EF23" s="54">
        <v>1883</v>
      </c>
      <c r="EG23" s="54">
        <v>1884</v>
      </c>
      <c r="EH23" s="54">
        <v>1885</v>
      </c>
      <c r="EI23" s="54">
        <v>1886</v>
      </c>
      <c r="EJ23" s="54">
        <v>1887</v>
      </c>
      <c r="EK23" s="54">
        <v>1888</v>
      </c>
      <c r="EL23" s="54">
        <v>1889</v>
      </c>
      <c r="EM23" s="54">
        <v>1890</v>
      </c>
      <c r="EN23" s="54">
        <v>1891</v>
      </c>
      <c r="EO23" s="54">
        <v>1892</v>
      </c>
      <c r="EP23" s="54">
        <v>1893</v>
      </c>
      <c r="EQ23" s="54">
        <v>1894</v>
      </c>
      <c r="ER23" s="54">
        <v>1895</v>
      </c>
      <c r="ES23" s="54">
        <v>1896</v>
      </c>
      <c r="ET23" s="54">
        <v>1897</v>
      </c>
      <c r="EU23" s="54">
        <v>1898</v>
      </c>
      <c r="EV23" s="54">
        <v>1899</v>
      </c>
      <c r="EW23" s="54">
        <v>1900</v>
      </c>
      <c r="EX23" s="54">
        <v>1901</v>
      </c>
      <c r="EY23" s="54">
        <v>1902</v>
      </c>
      <c r="EZ23" s="54">
        <v>1903</v>
      </c>
      <c r="FA23" s="54">
        <v>1904</v>
      </c>
      <c r="FB23" s="54">
        <v>1905</v>
      </c>
      <c r="FC23" s="54">
        <v>1906</v>
      </c>
      <c r="FD23" s="54">
        <v>1907</v>
      </c>
      <c r="FE23" s="54">
        <v>1908</v>
      </c>
      <c r="FF23" s="54">
        <v>1909</v>
      </c>
      <c r="FG23" s="54">
        <v>1910</v>
      </c>
      <c r="FH23" s="54">
        <v>1911</v>
      </c>
      <c r="FI23" s="54">
        <v>1912</v>
      </c>
      <c r="FJ23" s="54">
        <v>1913</v>
      </c>
      <c r="FK23" s="54">
        <v>1914</v>
      </c>
      <c r="FL23" s="54">
        <v>1915</v>
      </c>
      <c r="FM23" s="54">
        <v>1916</v>
      </c>
      <c r="FN23" s="54">
        <v>1917</v>
      </c>
      <c r="FO23" s="54">
        <v>1918</v>
      </c>
      <c r="FP23" s="54">
        <v>1919</v>
      </c>
      <c r="FQ23" s="54">
        <v>1920</v>
      </c>
      <c r="FR23" s="54">
        <v>1921</v>
      </c>
      <c r="FS23" s="54">
        <v>1922</v>
      </c>
      <c r="FT23" s="54">
        <v>1923</v>
      </c>
      <c r="FU23" s="54">
        <v>1924</v>
      </c>
      <c r="FV23" s="54">
        <v>1925</v>
      </c>
      <c r="FW23" s="54">
        <v>1926</v>
      </c>
      <c r="FX23" s="54">
        <v>1927</v>
      </c>
      <c r="FY23" s="54">
        <v>1928</v>
      </c>
      <c r="FZ23" s="54">
        <v>1929</v>
      </c>
      <c r="GA23" s="54">
        <v>1930</v>
      </c>
      <c r="GB23" s="54">
        <v>1931</v>
      </c>
      <c r="GC23" s="54">
        <v>1932</v>
      </c>
      <c r="GD23" s="54">
        <v>1933</v>
      </c>
      <c r="GE23" s="54">
        <v>1934</v>
      </c>
      <c r="GF23" s="54">
        <v>1935</v>
      </c>
      <c r="GG23" s="54">
        <v>1936</v>
      </c>
      <c r="GH23" s="54">
        <v>1937</v>
      </c>
      <c r="GI23" s="54">
        <v>1938</v>
      </c>
      <c r="GJ23" s="54">
        <v>1939</v>
      </c>
      <c r="GK23" s="54">
        <v>1940</v>
      </c>
      <c r="GL23" s="54">
        <v>1941</v>
      </c>
      <c r="GM23" s="54">
        <v>1942</v>
      </c>
      <c r="GN23" s="54">
        <v>1943</v>
      </c>
      <c r="GO23" s="54">
        <v>1944</v>
      </c>
      <c r="GP23" s="54">
        <v>1945</v>
      </c>
      <c r="GQ23" s="54">
        <v>1946</v>
      </c>
      <c r="GR23" s="54">
        <v>1947</v>
      </c>
      <c r="GS23" s="54">
        <v>1948</v>
      </c>
      <c r="GT23" s="54">
        <v>1949</v>
      </c>
      <c r="GU23" s="54">
        <v>1950</v>
      </c>
      <c r="GV23" s="54">
        <v>1951</v>
      </c>
      <c r="GW23" s="54">
        <v>1952</v>
      </c>
      <c r="GX23" s="54">
        <v>1953</v>
      </c>
      <c r="GY23" s="54">
        <v>1954</v>
      </c>
      <c r="GZ23" s="54">
        <v>1955</v>
      </c>
      <c r="HA23" s="54">
        <v>1956</v>
      </c>
      <c r="HB23" s="54">
        <v>1957</v>
      </c>
      <c r="HC23" s="54">
        <v>1958</v>
      </c>
      <c r="HD23" s="54">
        <v>1959</v>
      </c>
      <c r="HE23" s="54">
        <v>1960</v>
      </c>
      <c r="HF23" s="54">
        <v>1961</v>
      </c>
      <c r="HG23" s="54">
        <v>1962</v>
      </c>
      <c r="HH23" s="54">
        <v>1963</v>
      </c>
      <c r="HI23" s="54">
        <v>1964</v>
      </c>
      <c r="HJ23" s="54">
        <v>1965</v>
      </c>
      <c r="HK23" s="54">
        <v>1966</v>
      </c>
      <c r="HL23" s="54">
        <v>1967</v>
      </c>
      <c r="HM23" s="54">
        <v>1968</v>
      </c>
      <c r="HN23" s="54">
        <v>1969</v>
      </c>
      <c r="HO23" s="54">
        <v>1970</v>
      </c>
      <c r="HP23" s="54">
        <v>1971</v>
      </c>
      <c r="HQ23" s="54">
        <v>1972</v>
      </c>
      <c r="HR23" s="54">
        <v>1973</v>
      </c>
      <c r="HS23" s="54">
        <v>1974</v>
      </c>
      <c r="HT23" s="54">
        <v>1975</v>
      </c>
      <c r="HU23" s="54">
        <v>1976</v>
      </c>
      <c r="HV23" s="54">
        <v>1977</v>
      </c>
      <c r="HW23" s="54">
        <v>1978</v>
      </c>
      <c r="HX23" s="54">
        <v>1979</v>
      </c>
      <c r="HY23" s="54">
        <v>1980</v>
      </c>
      <c r="HZ23" s="54">
        <v>1981</v>
      </c>
      <c r="IA23" s="54">
        <v>1982</v>
      </c>
      <c r="IB23" s="54">
        <v>1983</v>
      </c>
      <c r="IC23" s="54">
        <v>1984</v>
      </c>
      <c r="ID23" s="54">
        <v>1985</v>
      </c>
      <c r="IE23" s="54">
        <v>1986</v>
      </c>
      <c r="IF23" s="54">
        <v>1987</v>
      </c>
      <c r="IG23" s="54">
        <v>1988</v>
      </c>
      <c r="IH23" s="54">
        <v>1989</v>
      </c>
      <c r="II23" s="54">
        <v>1990</v>
      </c>
      <c r="IJ23" s="54">
        <v>1991</v>
      </c>
      <c r="IK23" s="54">
        <v>1992</v>
      </c>
      <c r="IL23" s="54">
        <v>1993</v>
      </c>
      <c r="IM23" s="54">
        <v>1994</v>
      </c>
      <c r="IN23" s="54">
        <v>1995</v>
      </c>
      <c r="IO23" s="54">
        <v>1996</v>
      </c>
      <c r="IP23" s="54">
        <v>1997</v>
      </c>
      <c r="IQ23" s="54">
        <v>1998</v>
      </c>
      <c r="IR23" s="54">
        <v>1999</v>
      </c>
      <c r="IS23" s="54">
        <v>2000</v>
      </c>
      <c r="IT23" s="54">
        <v>2001</v>
      </c>
      <c r="IU23" s="54">
        <v>2002</v>
      </c>
      <c r="IV23" s="54">
        <v>2003</v>
      </c>
      <c r="IW23" s="54">
        <v>2004</v>
      </c>
      <c r="IX23" s="54">
        <v>2005</v>
      </c>
      <c r="IY23" s="54">
        <v>2006</v>
      </c>
      <c r="IZ23" s="54">
        <v>2007</v>
      </c>
      <c r="JA23" s="54">
        <v>2008</v>
      </c>
      <c r="JB23" s="55">
        <v>2009</v>
      </c>
      <c r="JC23" s="56">
        <v>2010</v>
      </c>
      <c r="JD23" s="57">
        <v>2011</v>
      </c>
      <c r="JE23" s="58">
        <v>2012</v>
      </c>
      <c r="JF23" s="58">
        <v>2013</v>
      </c>
      <c r="JG23" s="58">
        <v>2014</v>
      </c>
      <c r="JH23" s="58">
        <v>2015</v>
      </c>
      <c r="JI23" s="58">
        <v>2016</v>
      </c>
      <c r="JJ23" s="58">
        <v>2017</v>
      </c>
      <c r="JK23" s="58">
        <v>2018</v>
      </c>
      <c r="JL23" s="58">
        <v>2019</v>
      </c>
      <c r="JM23" s="58">
        <v>2020</v>
      </c>
      <c r="JN23" s="58">
        <v>2021</v>
      </c>
      <c r="JO23" s="58">
        <v>2022</v>
      </c>
      <c r="JP23" s="58">
        <v>2023</v>
      </c>
      <c r="JQ23" s="58">
        <v>2024</v>
      </c>
      <c r="JR23" s="58">
        <v>2025</v>
      </c>
      <c r="JS23" s="58">
        <v>2026</v>
      </c>
      <c r="JT23" s="58">
        <v>2027</v>
      </c>
      <c r="JU23" s="58">
        <v>2028</v>
      </c>
      <c r="JV23" s="58">
        <v>2029</v>
      </c>
      <c r="JW23" s="58">
        <v>2030</v>
      </c>
      <c r="JX23" s="58">
        <v>2031</v>
      </c>
      <c r="JY23" s="58">
        <v>2032</v>
      </c>
      <c r="JZ23" s="58">
        <v>2033</v>
      </c>
      <c r="KA23" s="58">
        <v>2034</v>
      </c>
      <c r="KB23" s="58">
        <v>2035</v>
      </c>
      <c r="KC23" s="58">
        <v>2036</v>
      </c>
      <c r="KD23" s="58">
        <v>2037</v>
      </c>
      <c r="KE23" s="58">
        <v>2038</v>
      </c>
      <c r="KF23" s="58">
        <v>2039</v>
      </c>
      <c r="KG23" s="58">
        <v>2040</v>
      </c>
      <c r="KH23" s="58">
        <v>2041</v>
      </c>
      <c r="KI23" s="58">
        <v>2042</v>
      </c>
      <c r="KJ23" s="58">
        <v>2043</v>
      </c>
      <c r="KK23" s="58">
        <v>2044</v>
      </c>
      <c r="KL23" s="58">
        <v>2045</v>
      </c>
      <c r="KM23" s="58">
        <v>2046</v>
      </c>
      <c r="KN23" s="58">
        <v>2047</v>
      </c>
      <c r="KO23" s="58">
        <v>2048</v>
      </c>
      <c r="KP23" s="58">
        <v>2049</v>
      </c>
      <c r="KQ23" s="58">
        <v>2050</v>
      </c>
      <c r="KR23" s="58">
        <v>2051</v>
      </c>
      <c r="KS23" s="58">
        <v>2052</v>
      </c>
      <c r="KT23" s="58">
        <v>2053</v>
      </c>
      <c r="KU23" s="58">
        <v>2054</v>
      </c>
      <c r="KV23" s="58">
        <v>2055</v>
      </c>
      <c r="KW23" s="58">
        <v>2056</v>
      </c>
      <c r="KX23" s="58">
        <v>2057</v>
      </c>
      <c r="KY23" s="58">
        <v>2058</v>
      </c>
      <c r="KZ23" s="58">
        <v>2059</v>
      </c>
      <c r="LA23" s="58">
        <v>2060</v>
      </c>
    </row>
    <row r="24" spans="1:313">
      <c r="A24" s="52" t="s">
        <v>274</v>
      </c>
      <c r="B24" s="59">
        <v>1764724</v>
      </c>
      <c r="C24" s="59">
        <v>1780678</v>
      </c>
      <c r="D24" s="59">
        <v>1802132</v>
      </c>
      <c r="E24" s="59">
        <v>1816703</v>
      </c>
      <c r="F24" s="59">
        <v>1837869</v>
      </c>
      <c r="G24" s="59">
        <v>1857047</v>
      </c>
      <c r="H24" s="59">
        <v>1875029</v>
      </c>
      <c r="I24" s="59">
        <v>1889424</v>
      </c>
      <c r="J24" s="60">
        <v>1892990</v>
      </c>
      <c r="K24" s="59">
        <v>1893444</v>
      </c>
      <c r="L24" s="59">
        <v>1905866</v>
      </c>
      <c r="M24" s="59">
        <v>1925248</v>
      </c>
      <c r="N24" s="59">
        <v>1942257</v>
      </c>
      <c r="O24" s="59">
        <v>1949359</v>
      </c>
      <c r="P24" s="59">
        <v>1952238</v>
      </c>
      <c r="Q24" s="59">
        <v>1966190</v>
      </c>
      <c r="R24" s="59">
        <v>1976824</v>
      </c>
      <c r="S24" s="59">
        <v>1992142</v>
      </c>
      <c r="T24" s="59">
        <v>2009696</v>
      </c>
      <c r="U24" s="59">
        <v>2020546</v>
      </c>
      <c r="V24" s="59">
        <v>2030491</v>
      </c>
      <c r="W24" s="59">
        <v>2042574</v>
      </c>
      <c r="X24" s="59">
        <v>2050680</v>
      </c>
      <c r="Y24" s="59">
        <v>2032235</v>
      </c>
      <c r="Z24" s="59">
        <v>1977205</v>
      </c>
      <c r="AA24" s="59">
        <v>2000208</v>
      </c>
      <c r="AB24" s="59">
        <v>2020847</v>
      </c>
      <c r="AC24" s="59">
        <v>2041289</v>
      </c>
      <c r="AD24" s="59">
        <v>2057147</v>
      </c>
      <c r="AE24" s="59">
        <v>2073296</v>
      </c>
      <c r="AF24" s="59">
        <v>2089624</v>
      </c>
      <c r="AG24" s="59">
        <v>2118281</v>
      </c>
      <c r="AH24" s="59">
        <v>2132912</v>
      </c>
      <c r="AI24" s="59">
        <v>2140986</v>
      </c>
      <c r="AJ24" s="59">
        <v>2143570</v>
      </c>
      <c r="AK24" s="59">
        <v>2145213</v>
      </c>
      <c r="AL24" s="59">
        <v>2149773</v>
      </c>
      <c r="AM24" s="59">
        <v>2163415</v>
      </c>
      <c r="AN24" s="59">
        <v>2178403</v>
      </c>
      <c r="AO24" s="59">
        <v>2192760</v>
      </c>
      <c r="AP24" s="59">
        <v>2188962</v>
      </c>
      <c r="AQ24" s="59">
        <v>2187732</v>
      </c>
      <c r="AR24" s="59">
        <v>2202319</v>
      </c>
      <c r="AS24" s="59">
        <v>2229343</v>
      </c>
      <c r="AT24" s="59">
        <v>2250919</v>
      </c>
      <c r="AU24" s="59">
        <v>2272890</v>
      </c>
      <c r="AV24" s="59">
        <v>2281137</v>
      </c>
      <c r="AW24" s="59">
        <v>2300793</v>
      </c>
      <c r="AX24" s="59">
        <v>2322814</v>
      </c>
      <c r="AY24" s="59">
        <v>2344228</v>
      </c>
      <c r="AZ24" s="59">
        <v>2356993</v>
      </c>
      <c r="BA24" s="59">
        <v>2347303</v>
      </c>
      <c r="BB24" s="59">
        <v>2354952</v>
      </c>
      <c r="BC24" s="59">
        <v>2372216</v>
      </c>
      <c r="BD24" s="59">
        <v>2388619</v>
      </c>
      <c r="BE24" s="59">
        <v>2403814</v>
      </c>
      <c r="BF24" s="59">
        <v>2422039</v>
      </c>
      <c r="BG24" s="59">
        <v>2428734</v>
      </c>
      <c r="BH24" s="59">
        <v>2439599</v>
      </c>
      <c r="BI24" s="59">
        <v>2427592</v>
      </c>
      <c r="BJ24" s="59">
        <v>2394101</v>
      </c>
      <c r="BK24" s="59">
        <v>2396351</v>
      </c>
      <c r="BL24" s="59">
        <v>2411382</v>
      </c>
      <c r="BM24" s="59">
        <v>2418780</v>
      </c>
      <c r="BN24" s="59">
        <v>2423949</v>
      </c>
      <c r="BO24" s="59">
        <v>2438241</v>
      </c>
      <c r="BP24" s="59">
        <v>2465066</v>
      </c>
      <c r="BQ24" s="59">
        <v>2497484</v>
      </c>
      <c r="BR24" s="59">
        <v>2521442</v>
      </c>
      <c r="BS24" s="59">
        <v>2546411</v>
      </c>
      <c r="BT24" s="59">
        <v>2561780</v>
      </c>
      <c r="BU24" s="59">
        <v>2584690</v>
      </c>
      <c r="BV24" s="59">
        <v>2610870</v>
      </c>
      <c r="BW24" s="59">
        <v>2646314</v>
      </c>
      <c r="BX24" s="59">
        <v>2689031</v>
      </c>
      <c r="BY24" s="59">
        <v>2726877</v>
      </c>
      <c r="BZ24" s="59">
        <v>2771252</v>
      </c>
      <c r="CA24" s="59">
        <v>2804926</v>
      </c>
      <c r="CB24" s="59">
        <v>2827719</v>
      </c>
      <c r="CC24" s="59">
        <v>2846788</v>
      </c>
      <c r="CD24" s="59">
        <v>2863132</v>
      </c>
      <c r="CE24" s="59">
        <v>2888082</v>
      </c>
      <c r="CF24" s="59">
        <v>2901039</v>
      </c>
      <c r="CG24" s="59">
        <v>2922801</v>
      </c>
      <c r="CH24" s="59">
        <v>2959141</v>
      </c>
      <c r="CI24" s="59">
        <v>2983055</v>
      </c>
      <c r="CJ24" s="59">
        <v>3025439</v>
      </c>
      <c r="CK24" s="59">
        <v>3059356</v>
      </c>
      <c r="CL24" s="59">
        <v>3076184</v>
      </c>
      <c r="CM24" s="59">
        <v>3090262</v>
      </c>
      <c r="CN24" s="59">
        <v>3106459</v>
      </c>
      <c r="CO24" s="59">
        <v>3138887</v>
      </c>
      <c r="CP24" s="59">
        <v>3173160</v>
      </c>
      <c r="CQ24" s="59">
        <v>3206776</v>
      </c>
      <c r="CR24" s="59">
        <v>3236632</v>
      </c>
      <c r="CS24" s="59">
        <v>3275133</v>
      </c>
      <c r="CT24" s="59">
        <v>3316536</v>
      </c>
      <c r="CU24" s="59">
        <v>3342927</v>
      </c>
      <c r="CV24" s="59">
        <v>3362072</v>
      </c>
      <c r="CW24" s="59">
        <v>3397454</v>
      </c>
      <c r="CX24" s="59">
        <v>3441286</v>
      </c>
      <c r="CY24" s="59">
        <v>3482541</v>
      </c>
      <c r="CZ24" s="59">
        <v>3516647</v>
      </c>
      <c r="DA24" s="59">
        <v>3540409</v>
      </c>
      <c r="DB24" s="59">
        <v>3563316</v>
      </c>
      <c r="DC24" s="59">
        <v>3608124</v>
      </c>
      <c r="DD24" s="59">
        <v>3641011</v>
      </c>
      <c r="DE24" s="59">
        <v>3672988</v>
      </c>
      <c r="DF24" s="59">
        <v>3687601</v>
      </c>
      <c r="DG24" s="59">
        <v>3734240</v>
      </c>
      <c r="DH24" s="59">
        <v>3787735</v>
      </c>
      <c r="DI24" s="59">
        <v>3859728</v>
      </c>
      <c r="DJ24" s="59">
        <v>3917339</v>
      </c>
      <c r="DK24" s="59">
        <v>3965899</v>
      </c>
      <c r="DL24" s="59">
        <v>4022564</v>
      </c>
      <c r="DM24" s="59">
        <v>4070061</v>
      </c>
      <c r="DN24" s="59">
        <v>4114141</v>
      </c>
      <c r="DO24" s="59">
        <v>4160677</v>
      </c>
      <c r="DP24" s="59">
        <v>4195681</v>
      </c>
      <c r="DQ24" s="59">
        <v>4173080</v>
      </c>
      <c r="DR24" s="59">
        <v>4158757</v>
      </c>
      <c r="DS24" s="59">
        <v>4168525</v>
      </c>
      <c r="DT24" s="59">
        <v>4204177</v>
      </c>
      <c r="DU24" s="59">
        <v>4250412</v>
      </c>
      <c r="DV24" s="59">
        <v>4297972</v>
      </c>
      <c r="DW24" s="59">
        <v>4341559</v>
      </c>
      <c r="DX24" s="59">
        <v>4383291</v>
      </c>
      <c r="DY24" s="59">
        <v>4429713</v>
      </c>
      <c r="DZ24" s="59">
        <v>4484542</v>
      </c>
      <c r="EA24" s="59">
        <v>4531863</v>
      </c>
      <c r="EB24" s="59">
        <v>4578901</v>
      </c>
      <c r="EC24" s="59">
        <v>4565668</v>
      </c>
      <c r="ED24" s="59">
        <v>4572245</v>
      </c>
      <c r="EE24" s="59">
        <v>4579115</v>
      </c>
      <c r="EF24" s="59">
        <v>4603595</v>
      </c>
      <c r="EG24" s="59">
        <v>4644448</v>
      </c>
      <c r="EH24" s="59">
        <v>4682769</v>
      </c>
      <c r="EI24" s="59">
        <v>4717189</v>
      </c>
      <c r="EJ24" s="59">
        <v>4734901</v>
      </c>
      <c r="EK24" s="59">
        <v>4748257</v>
      </c>
      <c r="EL24" s="59">
        <v>4774409</v>
      </c>
      <c r="EM24" s="59">
        <v>4784981</v>
      </c>
      <c r="EN24" s="59">
        <v>4802751</v>
      </c>
      <c r="EO24" s="59">
        <v>4806865</v>
      </c>
      <c r="EP24" s="59">
        <v>4824150</v>
      </c>
      <c r="EQ24" s="59">
        <v>4873183</v>
      </c>
      <c r="ER24" s="59">
        <v>4919260</v>
      </c>
      <c r="ES24" s="59">
        <v>4962568</v>
      </c>
      <c r="ET24" s="59">
        <v>5009632</v>
      </c>
      <c r="EU24" s="59">
        <v>5062918</v>
      </c>
      <c r="EV24" s="59">
        <v>5097402</v>
      </c>
      <c r="EW24" s="59">
        <v>5136441</v>
      </c>
      <c r="EX24" s="59">
        <v>5175228</v>
      </c>
      <c r="EY24" s="59">
        <v>5198752</v>
      </c>
      <c r="EZ24" s="59">
        <v>5221291</v>
      </c>
      <c r="FA24" s="59">
        <v>5260811</v>
      </c>
      <c r="FB24" s="59">
        <v>5294885</v>
      </c>
      <c r="FC24" s="59">
        <v>5337055</v>
      </c>
      <c r="FD24" s="59">
        <v>5377713</v>
      </c>
      <c r="FE24" s="59">
        <v>5429600</v>
      </c>
      <c r="FF24" s="59">
        <v>5476441</v>
      </c>
      <c r="FG24" s="59">
        <v>5522403</v>
      </c>
      <c r="FH24" s="59">
        <v>5561799</v>
      </c>
      <c r="FI24" s="59">
        <v>5604192</v>
      </c>
      <c r="FJ24" s="59">
        <v>5638583</v>
      </c>
      <c r="FK24" s="59">
        <v>5679607</v>
      </c>
      <c r="FL24" s="59">
        <v>5712740</v>
      </c>
      <c r="FM24" s="59">
        <v>5757566</v>
      </c>
      <c r="FN24" s="59">
        <v>5800847</v>
      </c>
      <c r="FO24" s="59">
        <v>5813850</v>
      </c>
      <c r="FP24" s="59">
        <v>5847037</v>
      </c>
      <c r="FQ24" s="59">
        <v>5904489</v>
      </c>
      <c r="FR24" s="59">
        <v>5954316</v>
      </c>
      <c r="FS24" s="59">
        <v>5987520</v>
      </c>
      <c r="FT24" s="59">
        <v>6005759</v>
      </c>
      <c r="FU24" s="59">
        <v>6036118</v>
      </c>
      <c r="FV24" s="59">
        <v>6053562</v>
      </c>
      <c r="FW24" s="59">
        <v>6074368</v>
      </c>
      <c r="FX24" s="59">
        <v>6087923</v>
      </c>
      <c r="FY24" s="59">
        <v>6105190</v>
      </c>
      <c r="FZ24" s="59">
        <v>6120080</v>
      </c>
      <c r="GA24" s="59">
        <v>6142191</v>
      </c>
      <c r="GB24" s="59">
        <v>6162446</v>
      </c>
      <c r="GC24" s="59">
        <v>6190364</v>
      </c>
      <c r="GD24" s="59">
        <v>6211566</v>
      </c>
      <c r="GE24" s="59">
        <v>6233090</v>
      </c>
      <c r="GF24" s="59">
        <v>6250506</v>
      </c>
      <c r="GG24" s="59">
        <v>6266888</v>
      </c>
      <c r="GH24" s="59">
        <v>6284722</v>
      </c>
      <c r="GI24" s="59">
        <v>6310214</v>
      </c>
      <c r="GJ24" s="59">
        <v>6341303</v>
      </c>
      <c r="GK24" s="59">
        <v>6371432</v>
      </c>
      <c r="GL24" s="59">
        <v>6406474</v>
      </c>
      <c r="GM24" s="59">
        <v>6458200</v>
      </c>
      <c r="GN24" s="59">
        <v>6522827</v>
      </c>
      <c r="GO24" s="59">
        <v>6597348</v>
      </c>
      <c r="GP24" s="59">
        <v>6673749</v>
      </c>
      <c r="GQ24" s="59">
        <v>6763685</v>
      </c>
      <c r="GR24" s="59">
        <v>6842046</v>
      </c>
      <c r="GS24" s="59">
        <v>6924888</v>
      </c>
      <c r="GT24" s="59">
        <v>6986181</v>
      </c>
      <c r="GU24" s="59">
        <v>7041829</v>
      </c>
      <c r="GV24" s="59">
        <v>7098740</v>
      </c>
      <c r="GW24" s="59">
        <v>7150606</v>
      </c>
      <c r="GX24" s="59">
        <v>7192316</v>
      </c>
      <c r="GY24" s="59">
        <v>7234664</v>
      </c>
      <c r="GZ24" s="59">
        <v>7290112</v>
      </c>
      <c r="HA24" s="59">
        <v>7338991</v>
      </c>
      <c r="HB24" s="59">
        <v>7388611</v>
      </c>
      <c r="HC24" s="59">
        <v>7429675</v>
      </c>
      <c r="HD24" s="59">
        <v>7462823</v>
      </c>
      <c r="HE24" s="59">
        <v>7497967</v>
      </c>
      <c r="HF24" s="59">
        <v>7542028</v>
      </c>
      <c r="HG24" s="59">
        <v>7581148</v>
      </c>
      <c r="HH24" s="59">
        <v>7627507</v>
      </c>
      <c r="HI24" s="59">
        <v>7695200</v>
      </c>
      <c r="HJ24" s="59">
        <v>7772506</v>
      </c>
      <c r="HK24" s="59">
        <v>7843088</v>
      </c>
      <c r="HL24" s="59">
        <v>7892774</v>
      </c>
      <c r="HM24" s="61">
        <v>7931193</v>
      </c>
      <c r="HN24" s="61">
        <v>8004270</v>
      </c>
      <c r="HO24" s="61">
        <v>8081229</v>
      </c>
      <c r="HP24" s="61">
        <v>8115165</v>
      </c>
      <c r="HQ24" s="61">
        <v>8129129</v>
      </c>
      <c r="HR24" s="61">
        <v>8144428</v>
      </c>
      <c r="HS24" s="61">
        <v>8176691</v>
      </c>
      <c r="HT24" s="61">
        <v>8208442</v>
      </c>
      <c r="HU24" s="61">
        <v>8236179</v>
      </c>
      <c r="HV24" s="61">
        <v>8267116</v>
      </c>
      <c r="HW24" s="61">
        <v>8284437</v>
      </c>
      <c r="HX24" s="61">
        <v>8303010</v>
      </c>
      <c r="HY24" s="61">
        <v>8317937</v>
      </c>
      <c r="HZ24" s="61">
        <v>8323033</v>
      </c>
      <c r="IA24" s="61">
        <v>8327484</v>
      </c>
      <c r="IB24" s="61">
        <v>8330573</v>
      </c>
      <c r="IC24" s="61">
        <v>8342621</v>
      </c>
      <c r="ID24" s="61">
        <v>8358139</v>
      </c>
      <c r="IE24" s="61">
        <v>8381515</v>
      </c>
      <c r="IF24" s="61">
        <v>8414083</v>
      </c>
      <c r="IG24" s="61">
        <v>8458888</v>
      </c>
      <c r="IH24" s="61">
        <v>8527036</v>
      </c>
      <c r="II24" s="61">
        <v>8590630</v>
      </c>
      <c r="IJ24" s="61">
        <v>8644119</v>
      </c>
      <c r="IK24" s="61">
        <v>8692013</v>
      </c>
      <c r="IL24" s="61">
        <v>8745109</v>
      </c>
      <c r="IM24" s="61">
        <v>8816381</v>
      </c>
      <c r="IN24" s="61">
        <v>8837496</v>
      </c>
      <c r="IO24" s="61">
        <v>8844499</v>
      </c>
      <c r="IP24" s="61">
        <v>8847625</v>
      </c>
      <c r="IQ24" s="59">
        <v>8854322</v>
      </c>
      <c r="IR24" s="59">
        <v>8861426</v>
      </c>
      <c r="IS24" s="61">
        <v>8882792</v>
      </c>
      <c r="IT24" s="61">
        <v>8909128</v>
      </c>
      <c r="IU24" s="62">
        <v>8940788</v>
      </c>
      <c r="IV24" s="59">
        <v>8975670</v>
      </c>
      <c r="IW24" s="59">
        <v>9011392</v>
      </c>
      <c r="IX24" s="59">
        <v>9047752</v>
      </c>
      <c r="IY24" s="59">
        <v>9113257</v>
      </c>
      <c r="IZ24" s="59">
        <v>9182927</v>
      </c>
      <c r="JA24" s="59">
        <v>9256347</v>
      </c>
      <c r="JB24" s="63">
        <v>9340682</v>
      </c>
      <c r="JC24" s="64">
        <v>9415570</v>
      </c>
      <c r="JD24" s="65">
        <v>9482855</v>
      </c>
      <c r="JE24" s="53">
        <v>9565519</v>
      </c>
      <c r="JF24" s="53">
        <v>9652709</v>
      </c>
      <c r="JG24" s="53">
        <v>9737738</v>
      </c>
      <c r="JH24" s="53">
        <v>9821281</v>
      </c>
      <c r="JI24" s="53">
        <v>9905548</v>
      </c>
      <c r="JJ24" s="53">
        <v>9986306</v>
      </c>
      <c r="JK24" s="53">
        <v>10063638</v>
      </c>
      <c r="JL24" s="53">
        <v>10135790</v>
      </c>
      <c r="JM24" s="53">
        <v>10200459</v>
      </c>
      <c r="JN24" s="53">
        <v>10259221</v>
      </c>
      <c r="JO24" s="53">
        <v>10314592</v>
      </c>
      <c r="JP24" s="53">
        <v>10368078</v>
      </c>
      <c r="JQ24" s="53">
        <v>10418813</v>
      </c>
      <c r="JR24" s="53">
        <v>10466388</v>
      </c>
      <c r="JS24" s="53">
        <v>10511030</v>
      </c>
      <c r="JT24" s="53">
        <v>10552673</v>
      </c>
      <c r="JU24" s="53">
        <v>10591303</v>
      </c>
      <c r="JV24" s="53">
        <v>10627078</v>
      </c>
      <c r="JW24" s="53">
        <v>10660344</v>
      </c>
      <c r="JX24" s="53">
        <v>10691580</v>
      </c>
      <c r="JY24" s="53">
        <v>10721200</v>
      </c>
      <c r="JZ24" s="53">
        <v>10749594</v>
      </c>
      <c r="KA24" s="53">
        <v>10777175</v>
      </c>
      <c r="KB24" s="53">
        <v>10804366</v>
      </c>
      <c r="KC24" s="53">
        <v>10831529</v>
      </c>
      <c r="KD24" s="53">
        <v>10858964</v>
      </c>
      <c r="KE24" s="53">
        <v>10886931</v>
      </c>
      <c r="KF24" s="53">
        <v>10915678</v>
      </c>
      <c r="KG24" s="53">
        <v>10945343</v>
      </c>
      <c r="KH24" s="53">
        <v>10976018</v>
      </c>
      <c r="KI24" s="53">
        <v>11007709</v>
      </c>
      <c r="KJ24" s="53">
        <v>11040420</v>
      </c>
      <c r="KK24" s="53">
        <v>11074136</v>
      </c>
      <c r="KL24" s="53">
        <v>11108635</v>
      </c>
      <c r="KM24" s="53">
        <v>11143866</v>
      </c>
      <c r="KN24" s="53">
        <v>11179597</v>
      </c>
      <c r="KO24" s="53">
        <v>11215639</v>
      </c>
      <c r="KP24" s="53">
        <v>11251778</v>
      </c>
      <c r="KQ24" s="53">
        <v>11287749</v>
      </c>
      <c r="KR24" s="53">
        <v>11323354</v>
      </c>
      <c r="KS24" s="53">
        <v>11358415</v>
      </c>
      <c r="KT24" s="53">
        <v>11392759</v>
      </c>
      <c r="KU24" s="53">
        <v>11426264</v>
      </c>
      <c r="KV24" s="53">
        <v>11458820</v>
      </c>
      <c r="KW24" s="53">
        <v>11490472</v>
      </c>
      <c r="KX24" s="53">
        <v>11521135</v>
      </c>
      <c r="KY24" s="53">
        <v>11551041</v>
      </c>
      <c r="KZ24" s="53">
        <v>11580218</v>
      </c>
      <c r="LA24" s="53">
        <v>11608933</v>
      </c>
    </row>
    <row r="44" spans="1:102">
      <c r="BM44" t="s">
        <v>316</v>
      </c>
    </row>
    <row r="45" spans="1:102">
      <c r="B45">
        <v>1950</v>
      </c>
      <c r="C45" s="73">
        <v>1951</v>
      </c>
      <c r="D45" s="73">
        <v>1952</v>
      </c>
      <c r="E45" s="73">
        <v>1953</v>
      </c>
      <c r="F45" s="73">
        <v>1954</v>
      </c>
      <c r="G45" s="73">
        <v>1955</v>
      </c>
      <c r="H45" s="73">
        <v>1956</v>
      </c>
      <c r="I45" s="73">
        <v>1957</v>
      </c>
      <c r="J45" s="73">
        <v>1958</v>
      </c>
      <c r="K45" s="73">
        <v>1959</v>
      </c>
      <c r="L45" s="73">
        <v>1960</v>
      </c>
      <c r="M45" s="73">
        <v>1961</v>
      </c>
      <c r="N45" s="73">
        <v>1962</v>
      </c>
      <c r="O45" s="73">
        <v>1963</v>
      </c>
      <c r="P45" s="73">
        <v>1964</v>
      </c>
      <c r="Q45" s="73">
        <v>1965</v>
      </c>
      <c r="R45" s="73">
        <v>1966</v>
      </c>
      <c r="S45" s="73">
        <v>1967</v>
      </c>
      <c r="T45" s="73">
        <v>1968</v>
      </c>
      <c r="U45" s="73">
        <v>1969</v>
      </c>
      <c r="V45" s="73">
        <v>1970</v>
      </c>
      <c r="W45" s="73">
        <v>1971</v>
      </c>
      <c r="X45" s="73">
        <v>1972</v>
      </c>
      <c r="Y45" s="73">
        <v>1973</v>
      </c>
      <c r="Z45" s="73">
        <v>1974</v>
      </c>
      <c r="AA45" s="73">
        <v>1975</v>
      </c>
      <c r="AB45" s="73">
        <v>1976</v>
      </c>
      <c r="AC45" s="73">
        <v>1977</v>
      </c>
      <c r="AD45" s="73">
        <v>1978</v>
      </c>
      <c r="AE45" s="73">
        <v>1979</v>
      </c>
      <c r="AF45" s="73">
        <v>1980</v>
      </c>
      <c r="AG45" s="73">
        <v>1981</v>
      </c>
      <c r="AH45" s="73">
        <v>1982</v>
      </c>
      <c r="AI45" s="73">
        <v>1983</v>
      </c>
      <c r="AJ45" s="73">
        <v>1984</v>
      </c>
      <c r="AK45" s="73">
        <v>1985</v>
      </c>
      <c r="AL45" s="73">
        <v>1986</v>
      </c>
      <c r="AM45" s="73">
        <v>1987</v>
      </c>
      <c r="AN45" s="73">
        <v>1988</v>
      </c>
      <c r="AO45" s="73">
        <v>1989</v>
      </c>
      <c r="AP45" s="73">
        <v>1990</v>
      </c>
      <c r="AQ45" s="73">
        <v>1991</v>
      </c>
      <c r="AR45" s="73">
        <v>1992</v>
      </c>
      <c r="AS45" s="73">
        <v>1993</v>
      </c>
      <c r="AT45" s="73">
        <v>1994</v>
      </c>
      <c r="AU45" s="73">
        <v>1995</v>
      </c>
      <c r="AV45" s="73">
        <v>1996</v>
      </c>
      <c r="AW45" s="73">
        <v>1997</v>
      </c>
      <c r="AX45" s="73">
        <v>1998</v>
      </c>
      <c r="AY45" s="73">
        <v>1999</v>
      </c>
      <c r="AZ45" s="73">
        <v>2000</v>
      </c>
      <c r="BA45" s="73">
        <v>2001</v>
      </c>
      <c r="BB45" s="73">
        <v>2002</v>
      </c>
      <c r="BC45" s="73">
        <v>2003</v>
      </c>
      <c r="BD45" s="73">
        <v>2004</v>
      </c>
      <c r="BE45" s="73">
        <v>2005</v>
      </c>
      <c r="BF45" s="73">
        <v>2006</v>
      </c>
      <c r="BG45" s="73">
        <v>2007</v>
      </c>
      <c r="BH45" s="73">
        <v>2008</v>
      </c>
      <c r="BI45" s="73">
        <v>2009</v>
      </c>
      <c r="BJ45" s="73">
        <v>2010</v>
      </c>
      <c r="BK45" s="73">
        <v>2011</v>
      </c>
      <c r="BL45" s="73">
        <v>2012</v>
      </c>
      <c r="BM45" s="81">
        <v>2013</v>
      </c>
      <c r="BN45" s="81">
        <v>2014</v>
      </c>
      <c r="BO45" s="81">
        <v>2015</v>
      </c>
      <c r="BP45" s="81">
        <v>2016</v>
      </c>
      <c r="BQ45" s="81">
        <v>2017</v>
      </c>
      <c r="BR45" s="81">
        <v>2018</v>
      </c>
      <c r="BS45" s="81">
        <v>2019</v>
      </c>
      <c r="BT45" s="81">
        <v>2020</v>
      </c>
      <c r="BU45" s="81">
        <v>2021</v>
      </c>
      <c r="BV45" s="81">
        <v>2022</v>
      </c>
      <c r="BW45" s="81">
        <v>2023</v>
      </c>
      <c r="BX45" s="81">
        <v>2024</v>
      </c>
      <c r="BY45" s="81">
        <v>2025</v>
      </c>
      <c r="BZ45" s="50">
        <v>2026</v>
      </c>
      <c r="CA45" s="81">
        <v>2027</v>
      </c>
      <c r="CB45" s="50">
        <v>2028</v>
      </c>
      <c r="CC45" s="81">
        <v>2029</v>
      </c>
      <c r="CD45" s="50">
        <v>2030</v>
      </c>
      <c r="CE45" s="81">
        <v>2031</v>
      </c>
      <c r="CF45" s="50">
        <v>2032</v>
      </c>
      <c r="CG45" s="81">
        <v>2033</v>
      </c>
      <c r="CH45" s="50">
        <v>2034</v>
      </c>
      <c r="CI45" s="81">
        <v>2035</v>
      </c>
      <c r="CJ45" s="50">
        <v>2036</v>
      </c>
      <c r="CK45" s="81">
        <v>2037</v>
      </c>
      <c r="CL45" s="50">
        <v>2038</v>
      </c>
      <c r="CM45" s="81">
        <v>2039</v>
      </c>
      <c r="CN45" s="50">
        <v>2040</v>
      </c>
      <c r="CO45" s="81">
        <v>2041</v>
      </c>
      <c r="CP45" s="50">
        <v>2042</v>
      </c>
      <c r="CQ45" s="81">
        <v>2043</v>
      </c>
      <c r="CR45" s="50">
        <v>2044</v>
      </c>
      <c r="CS45" s="81">
        <v>2045</v>
      </c>
      <c r="CT45" s="50">
        <v>2046</v>
      </c>
      <c r="CU45" s="81">
        <v>2047</v>
      </c>
      <c r="CV45" s="50">
        <v>2048</v>
      </c>
      <c r="CW45" s="81">
        <v>2049</v>
      </c>
      <c r="CX45" s="50">
        <v>2050</v>
      </c>
    </row>
    <row r="46" spans="1:102" s="73" customFormat="1" ht="15.75" thickBot="1">
      <c r="A46" s="96" t="s">
        <v>13</v>
      </c>
      <c r="B46" s="97">
        <v>370832</v>
      </c>
      <c r="C46" s="98">
        <v>375193</v>
      </c>
      <c r="D46" s="98">
        <v>380198</v>
      </c>
      <c r="E46" s="98">
        <v>384868</v>
      </c>
      <c r="F46" s="98">
        <v>390801</v>
      </c>
      <c r="G46" s="97">
        <v>397929</v>
      </c>
      <c r="H46" s="98">
        <v>404701</v>
      </c>
      <c r="I46" s="98">
        <v>410396</v>
      </c>
      <c r="J46" s="98">
        <v>415398</v>
      </c>
      <c r="K46" s="98">
        <v>419269</v>
      </c>
      <c r="L46" s="97">
        <v>423983</v>
      </c>
      <c r="M46" s="98">
        <v>427707</v>
      </c>
      <c r="N46" s="98">
        <v>431559</v>
      </c>
      <c r="O46" s="98">
        <v>436400</v>
      </c>
      <c r="P46" s="98">
        <v>442185</v>
      </c>
      <c r="Q46" s="97">
        <v>447771</v>
      </c>
      <c r="R46" s="98">
        <v>453079</v>
      </c>
      <c r="S46" s="98">
        <v>455936</v>
      </c>
      <c r="T46" s="99">
        <v>456057</v>
      </c>
      <c r="U46" s="99">
        <v>459082</v>
      </c>
      <c r="V46" s="99">
        <v>465527</v>
      </c>
      <c r="W46" s="99">
        <v>464531</v>
      </c>
      <c r="X46" s="99">
        <v>456501</v>
      </c>
      <c r="Y46" s="99">
        <v>449470</v>
      </c>
      <c r="Z46" s="99">
        <v>445704</v>
      </c>
      <c r="AA46" s="99">
        <v>444651</v>
      </c>
      <c r="AB46" s="99">
        <v>442410</v>
      </c>
      <c r="AC46" s="99">
        <v>440082</v>
      </c>
      <c r="AD46" s="99">
        <v>436985</v>
      </c>
      <c r="AE46" s="99">
        <v>434699</v>
      </c>
      <c r="AF46" s="99">
        <v>431273</v>
      </c>
      <c r="AG46" s="99">
        <v>428171</v>
      </c>
      <c r="AH46" s="99">
        <v>425875</v>
      </c>
      <c r="AI46" s="99">
        <v>424186</v>
      </c>
      <c r="AJ46" s="99">
        <v>424085</v>
      </c>
      <c r="AK46" s="99">
        <v>425495</v>
      </c>
      <c r="AL46" s="99">
        <v>429339</v>
      </c>
      <c r="AM46" s="99">
        <v>431521</v>
      </c>
      <c r="AN46" s="99">
        <v>430763</v>
      </c>
      <c r="AO46" s="99">
        <v>431840</v>
      </c>
      <c r="AP46" s="99">
        <v>433042</v>
      </c>
      <c r="AQ46" s="99">
        <v>432112</v>
      </c>
      <c r="AR46" s="99">
        <v>433811</v>
      </c>
      <c r="AS46" s="99">
        <v>437313</v>
      </c>
      <c r="AT46" s="99">
        <v>444553</v>
      </c>
      <c r="AU46" s="99">
        <v>449189</v>
      </c>
      <c r="AV46" s="99">
        <v>454016</v>
      </c>
      <c r="AW46" s="99">
        <v>456611</v>
      </c>
      <c r="AX46" s="99">
        <v>459593</v>
      </c>
      <c r="AY46" s="99">
        <v>462470</v>
      </c>
      <c r="AZ46" s="99">
        <v>466990</v>
      </c>
      <c r="BA46" s="99">
        <v>471267</v>
      </c>
      <c r="BB46" s="99">
        <v>474921</v>
      </c>
      <c r="BC46" s="99">
        <v>478055</v>
      </c>
      <c r="BD46" s="99">
        <v>481410</v>
      </c>
      <c r="BE46" s="99">
        <v>484942</v>
      </c>
      <c r="BF46" s="99">
        <v>489757</v>
      </c>
      <c r="BG46" s="99">
        <v>493502</v>
      </c>
      <c r="BH46" s="23">
        <v>500197</v>
      </c>
      <c r="BI46" s="23">
        <v>507330</v>
      </c>
      <c r="BJ46" s="23">
        <v>513751</v>
      </c>
      <c r="BK46" s="23">
        <v>520374</v>
      </c>
      <c r="BL46" s="23">
        <v>526089</v>
      </c>
      <c r="BM46" s="100">
        <v>532366.42332650488</v>
      </c>
      <c r="BN46" s="100">
        <v>538813.42751486506</v>
      </c>
      <c r="BO46" s="100">
        <v>544929.46179550781</v>
      </c>
      <c r="BP46" s="100">
        <v>551149.73988951987</v>
      </c>
      <c r="BQ46" s="100">
        <v>557466.68882349029</v>
      </c>
      <c r="BR46" s="100">
        <v>563865.40847259003</v>
      </c>
      <c r="BS46" s="100">
        <v>570338.14204012731</v>
      </c>
      <c r="BT46" s="100">
        <v>576875.92616538797</v>
      </c>
      <c r="BU46" s="100">
        <v>583465.96903595247</v>
      </c>
      <c r="BV46" s="100">
        <v>590101.42911455675</v>
      </c>
      <c r="BW46" s="100">
        <v>596773.19410423224</v>
      </c>
      <c r="BX46" s="100">
        <v>603432.74022590066</v>
      </c>
      <c r="BY46" s="100">
        <v>610114.69461465627</v>
      </c>
      <c r="BZ46" s="73">
        <f>BY46*(1+BZ47)</f>
        <v>617108.70757628139</v>
      </c>
      <c r="CA46" s="73">
        <f t="shared" ref="CA46:CX46" si="4">BZ46*(1+CA47)</f>
        <v>624182.89598317794</v>
      </c>
      <c r="CB46" s="73">
        <f t="shared" si="4"/>
        <v>631338.17892172164</v>
      </c>
      <c r="CC46" s="73">
        <f t="shared" si="4"/>
        <v>638575.4860141793</v>
      </c>
      <c r="CD46" s="73">
        <f t="shared" si="4"/>
        <v>645895.75753948651</v>
      </c>
      <c r="CE46" s="73">
        <f t="shared" si="4"/>
        <v>653299.94455540972</v>
      </c>
      <c r="CF46" s="73">
        <f t="shared" si="4"/>
        <v>660789.00902210863</v>
      </c>
      <c r="CG46" s="73">
        <f t="shared" si="4"/>
        <v>668363.92392711504</v>
      </c>
      <c r="CH46" s="73">
        <f t="shared" si="4"/>
        <v>676025.67341174476</v>
      </c>
      <c r="CI46" s="73">
        <f t="shared" si="4"/>
        <v>683775.25289895793</v>
      </c>
      <c r="CJ46" s="73">
        <f t="shared" si="4"/>
        <v>691613.66922268586</v>
      </c>
      <c r="CK46" s="73">
        <f t="shared" si="4"/>
        <v>699541.94075863971</v>
      </c>
      <c r="CL46" s="73">
        <f t="shared" si="4"/>
        <v>707561.09755661921</v>
      </c>
      <c r="CM46" s="73">
        <f t="shared" si="4"/>
        <v>715672.1814743377</v>
      </c>
      <c r="CN46" s="73">
        <f t="shared" si="4"/>
        <v>723876.24631278159</v>
      </c>
      <c r="CO46" s="73">
        <f t="shared" si="4"/>
        <v>732174.35795312119</v>
      </c>
      <c r="CP46" s="73">
        <f t="shared" si="4"/>
        <v>740567.59449519124</v>
      </c>
      <c r="CQ46" s="73">
        <f t="shared" si="4"/>
        <v>749057.04639755888</v>
      </c>
      <c r="CR46" s="73">
        <f t="shared" si="4"/>
        <v>757643.81661919726</v>
      </c>
      <c r="CS46" s="73">
        <f t="shared" si="4"/>
        <v>766329.02076278301</v>
      </c>
      <c r="CT46" s="73">
        <f t="shared" si="4"/>
        <v>775113.78721963672</v>
      </c>
      <c r="CU46" s="73">
        <f t="shared" si="4"/>
        <v>783999.25731632474</v>
      </c>
      <c r="CV46" s="73">
        <f t="shared" si="4"/>
        <v>792986.58546294156</v>
      </c>
      <c r="CW46" s="73">
        <f t="shared" si="4"/>
        <v>802076.93930309208</v>
      </c>
      <c r="CX46" s="73">
        <f t="shared" si="4"/>
        <v>811271.49986559327</v>
      </c>
    </row>
    <row r="47" spans="1:102">
      <c r="C47" s="51">
        <f t="shared" ref="C47" si="5">(C46-B46)/B46</f>
        <v>1.1760042283298097E-2</v>
      </c>
      <c r="D47" s="51">
        <f t="shared" ref="D47" si="6">(D46-C46)/C46</f>
        <v>1.3339801115692457E-2</v>
      </c>
      <c r="E47" s="51">
        <f t="shared" ref="E47" si="7">(E46-D46)/D46</f>
        <v>1.2283073556410081E-2</v>
      </c>
      <c r="F47" s="51">
        <f t="shared" ref="F47" si="8">(F46-E46)/E46</f>
        <v>1.5415674984670068E-2</v>
      </c>
      <c r="G47" s="51">
        <f t="shared" ref="G47" si="9">(G46-F46)/F46</f>
        <v>1.8239462027988668E-2</v>
      </c>
      <c r="H47" s="51">
        <f t="shared" ref="H47" si="10">(H46-G46)/G46</f>
        <v>1.701811127110615E-2</v>
      </c>
      <c r="I47" s="51">
        <f t="shared" ref="I47" si="11">(I46-H46)/H46</f>
        <v>1.4072117439788881E-2</v>
      </c>
      <c r="J47" s="51">
        <f t="shared" ref="J47" si="12">(J46-I46)/I46</f>
        <v>1.2188227955438162E-2</v>
      </c>
      <c r="K47" s="51">
        <f t="shared" ref="K47" si="13">(K46-J46)/J46</f>
        <v>9.3187738024737721E-3</v>
      </c>
      <c r="L47" s="51">
        <f t="shared" ref="L47" si="14">(L46-K46)/K46</f>
        <v>1.12433783561389E-2</v>
      </c>
      <c r="M47" s="51">
        <f t="shared" ref="M47" si="15">(M46-L46)/L46</f>
        <v>8.7833710313856925E-3</v>
      </c>
      <c r="N47" s="51">
        <f t="shared" ref="N47" si="16">(N46-M46)/M46</f>
        <v>9.0061654356837738E-3</v>
      </c>
      <c r="O47" s="51">
        <f t="shared" ref="O47" si="17">(O46-N46)/N46</f>
        <v>1.1217469685489123E-2</v>
      </c>
      <c r="P47" s="51">
        <f t="shared" ref="P47" si="18">(P46-O46)/O46</f>
        <v>1.3256186984417965E-2</v>
      </c>
      <c r="Q47" s="51">
        <f t="shared" ref="Q47" si="19">(Q46-P46)/P46</f>
        <v>1.2632721598425998E-2</v>
      </c>
      <c r="R47" s="51">
        <f t="shared" ref="R47" si="20">(R46-Q46)/Q46</f>
        <v>1.1854273724738762E-2</v>
      </c>
      <c r="S47" s="51">
        <f t="shared" ref="S47" si="21">(S46-R46)/R46</f>
        <v>6.3057435899699608E-3</v>
      </c>
      <c r="T47" s="51">
        <f t="shared" ref="T47" si="22">(T46-S46)/S46</f>
        <v>2.6538812464907353E-4</v>
      </c>
      <c r="U47" s="51">
        <f t="shared" ref="U47" si="23">(U46-T46)/T46</f>
        <v>6.6329428119730645E-3</v>
      </c>
      <c r="V47" s="51">
        <f t="shared" ref="V47" si="24">(V46-U46)/U46</f>
        <v>1.4038886299179668E-2</v>
      </c>
      <c r="W47" s="51">
        <f t="shared" ref="W47" si="25">(W46-V46)/V46</f>
        <v>-2.1395107050718861E-3</v>
      </c>
      <c r="X47" s="51">
        <f t="shared" ref="X47" si="26">(X46-W46)/W46</f>
        <v>-1.7286252155399747E-2</v>
      </c>
      <c r="Y47" s="51">
        <f t="shared" ref="Y47" si="27">(Y46-X46)/X46</f>
        <v>-1.5401937783268821E-2</v>
      </c>
      <c r="Z47" s="51">
        <f t="shared" ref="Z47" si="28">(Z46-Y46)/Y46</f>
        <v>-8.3787572029278921E-3</v>
      </c>
      <c r="AA47" s="51">
        <f t="shared" ref="AA47" si="29">(AA46-Z46)/Z46</f>
        <v>-2.3625545204889343E-3</v>
      </c>
      <c r="AB47" s="51">
        <f t="shared" ref="AB47" si="30">(AB46-AA46)/AA46</f>
        <v>-5.0399077028950795E-3</v>
      </c>
      <c r="AC47" s="51">
        <f t="shared" ref="AC47" si="31">(AC46-AB46)/AB46</f>
        <v>-5.2620872041771209E-3</v>
      </c>
      <c r="AD47" s="51">
        <f t="shared" ref="AD47" si="32">(AD46-AC46)/AC46</f>
        <v>-7.0373248621847743E-3</v>
      </c>
      <c r="AE47" s="51">
        <f t="shared" ref="AE47" si="33">(AE46-AD46)/AD46</f>
        <v>-5.2313008455667819E-3</v>
      </c>
      <c r="AF47" s="51">
        <f t="shared" ref="AF47" si="34">(AF46-AE46)/AE46</f>
        <v>-7.8813155769854541E-3</v>
      </c>
      <c r="AG47" s="51">
        <f t="shared" ref="AG47" si="35">(AG46-AF46)/AF46</f>
        <v>-7.1926598697344838E-3</v>
      </c>
      <c r="AH47" s="51">
        <f t="shared" ref="AH47" si="36">(AH46-AG46)/AG46</f>
        <v>-5.3623435496565628E-3</v>
      </c>
      <c r="AI47" s="51">
        <f t="shared" ref="AI47" si="37">(AI46-AH46)/AH46</f>
        <v>-3.9659524508365131E-3</v>
      </c>
      <c r="AJ47" s="51">
        <f t="shared" ref="AJ47" si="38">(AJ46-AI46)/AI46</f>
        <v>-2.3810309628323424E-4</v>
      </c>
      <c r="AK47" s="51">
        <f t="shared" ref="AK47" si="39">(AK46-AJ46)/AJ46</f>
        <v>3.3248051687751277E-3</v>
      </c>
      <c r="AL47" s="51">
        <f t="shared" ref="AL47" si="40">(AL46-AK46)/AK46</f>
        <v>9.0341837154373147E-3</v>
      </c>
      <c r="AM47" s="51">
        <f t="shared" ref="AM47" si="41">(AM46-AL46)/AL46</f>
        <v>5.0822310575093345E-3</v>
      </c>
      <c r="AN47" s="51">
        <f t="shared" ref="AN47" si="42">(AN46-AM46)/AM46</f>
        <v>-1.756577316051826E-3</v>
      </c>
      <c r="AO47" s="51">
        <f t="shared" ref="AO47" si="43">(AO46-AN46)/AN46</f>
        <v>2.500214735248849E-3</v>
      </c>
      <c r="AP47" s="51">
        <f t="shared" ref="AP47" si="44">(AP46-AO46)/AO46</f>
        <v>2.7834383104853649E-3</v>
      </c>
      <c r="AQ47" s="51">
        <f t="shared" ref="AQ47" si="45">(AQ46-AP46)/AP46</f>
        <v>-2.1475976926025649E-3</v>
      </c>
      <c r="AR47" s="51">
        <f t="shared" ref="AR47" si="46">(AR46-AQ46)/AQ46</f>
        <v>3.9318510015921796E-3</v>
      </c>
      <c r="AS47" s="51">
        <f t="shared" ref="AS47" si="47">(AS46-AR46)/AR46</f>
        <v>8.0726399284481026E-3</v>
      </c>
      <c r="AT47" s="51">
        <f t="shared" ref="AT47" si="48">(AT46-AS46)/AS46</f>
        <v>1.6555647785453438E-2</v>
      </c>
      <c r="AU47" s="51">
        <f t="shared" ref="AU47" si="49">(AU46-AT46)/AT46</f>
        <v>1.0428452850391292E-2</v>
      </c>
      <c r="AV47" s="51">
        <f t="shared" ref="AV47" si="50">(AV46-AU46)/AU46</f>
        <v>1.0746033406873277E-2</v>
      </c>
      <c r="AW47" s="51">
        <f t="shared" ref="AW47" si="51">(AW46-AV46)/AV46</f>
        <v>5.715657597970116E-3</v>
      </c>
      <c r="AX47" s="51">
        <f t="shared" ref="AX47" si="52">(AX46-AW46)/AW46</f>
        <v>6.5307230881428615E-3</v>
      </c>
      <c r="AY47" s="51">
        <f t="shared" ref="AY47" si="53">(AY46-AX46)/AX46</f>
        <v>6.2598864647633885E-3</v>
      </c>
      <c r="AZ47" s="51">
        <f t="shared" ref="AZ47" si="54">(AZ46-AY46)/AY46</f>
        <v>9.773606936666162E-3</v>
      </c>
      <c r="BA47" s="51">
        <f t="shared" ref="BA47" si="55">(BA46-AZ46)/AZ46</f>
        <v>9.1586543609070859E-3</v>
      </c>
      <c r="BB47" s="51">
        <f t="shared" ref="BB47" si="56">(BB46-BA46)/BA46</f>
        <v>7.7535664495922696E-3</v>
      </c>
      <c r="BC47" s="51">
        <f t="shared" ref="BC47" si="57">(BC46-BB46)/BB46</f>
        <v>6.5989922534484685E-3</v>
      </c>
      <c r="BD47" s="51">
        <f t="shared" ref="BD47" si="58">(BD46-BC46)/BC46</f>
        <v>7.0180209390132932E-3</v>
      </c>
      <c r="BE47" s="51">
        <f t="shared" ref="BE47" si="59">(BE46-BD46)/BD46</f>
        <v>7.3367815375667313E-3</v>
      </c>
      <c r="BF47" s="51">
        <f t="shared" ref="BF47" si="60">(BF46-BE46)/BE46</f>
        <v>9.9290224397969237E-3</v>
      </c>
      <c r="BG47" s="51">
        <f t="shared" ref="BG47" si="61">(BG46-BF46)/BF46</f>
        <v>7.6466492566721863E-3</v>
      </c>
      <c r="BH47" s="51">
        <f t="shared" ref="BH47" si="62">(BH46-BG46)/BG46</f>
        <v>1.3566307735328327E-2</v>
      </c>
      <c r="BI47" s="51">
        <f t="shared" ref="BI47" si="63">(BI46-BH46)/BH46</f>
        <v>1.4260381409724569E-2</v>
      </c>
      <c r="BJ47" s="51">
        <f t="shared" ref="BJ47" si="64">(BJ46-BI46)/BI46</f>
        <v>1.2656456349910314E-2</v>
      </c>
      <c r="BK47" s="51">
        <f t="shared" ref="BK47" si="65">(BK46-BJ46)/BJ46</f>
        <v>1.2891459092050429E-2</v>
      </c>
      <c r="BL47" s="51">
        <f t="shared" ref="BL47" si="66">(BL46-BK46)/BK46</f>
        <v>1.0982485673765406E-2</v>
      </c>
      <c r="BM47" s="51">
        <f t="shared" ref="BM47" si="67">(BM46-BL46)/BL46</f>
        <v>1.1932245925128414E-2</v>
      </c>
      <c r="BN47" s="51">
        <f t="shared" ref="BN47" si="68">(BN46-BM46)/BM46</f>
        <v>1.2110087912900131E-2</v>
      </c>
      <c r="BO47" s="51">
        <f t="shared" ref="BO47" si="69">(BO46-BN46)/BN46</f>
        <v>1.1350931451080102E-2</v>
      </c>
      <c r="BP47" s="51">
        <f t="shared" ref="BP47" si="70">(BP46-BO46)/BO46</f>
        <v>1.1414831698614052E-2</v>
      </c>
      <c r="BQ47" s="51">
        <f t="shared" ref="BQ47" si="71">(BQ46-BP46)/BP46</f>
        <v>1.1461402368141683E-2</v>
      </c>
      <c r="BR47" s="51">
        <f t="shared" ref="BR47" si="72">(BR46-BQ46)/BQ46</f>
        <v>1.1478209868654162E-2</v>
      </c>
      <c r="BS47" s="51">
        <f t="shared" ref="BS47" si="73">(BS46-BR46)/BR46</f>
        <v>1.1479217327891677E-2</v>
      </c>
      <c r="BT47" s="51">
        <f t="shared" ref="BT47" si="74">(BT46-BS46)/BS46</f>
        <v>1.1462996498664261E-2</v>
      </c>
      <c r="BU47" s="51">
        <f t="shared" ref="BU47" si="75">(BU46-BT46)/BT46</f>
        <v>1.1423674609495083E-2</v>
      </c>
      <c r="BV47" s="51">
        <f t="shared" ref="BV47" si="76">(BV46-BU46)/BU46</f>
        <v>1.1372488595295294E-2</v>
      </c>
      <c r="BW47" s="51">
        <f t="shared" ref="BW47" si="77">(BW46-BV46)/BV46</f>
        <v>1.1306132573999062E-2</v>
      </c>
      <c r="BX47" s="51">
        <f t="shared" ref="BX47" si="78">(BX46-BW46)/BW46</f>
        <v>1.1159258136023559E-2</v>
      </c>
      <c r="BY47" s="51">
        <f t="shared" ref="BY47" si="79">(BY46-BX46)/BX46</f>
        <v>1.1073238065031332E-2</v>
      </c>
      <c r="BZ47" s="51">
        <f>AVERAGE($BM$47:$BY$47)</f>
        <v>1.1463439617762987E-2</v>
      </c>
      <c r="CA47" s="51">
        <f t="shared" ref="CA47:CX47" si="80">AVERAGE($BM$47:$BY$47)</f>
        <v>1.1463439617762987E-2</v>
      </c>
      <c r="CB47" s="51">
        <f t="shared" si="80"/>
        <v>1.1463439617762987E-2</v>
      </c>
      <c r="CC47" s="51">
        <f t="shared" si="80"/>
        <v>1.1463439617762987E-2</v>
      </c>
      <c r="CD47" s="51">
        <f t="shared" si="80"/>
        <v>1.1463439617762987E-2</v>
      </c>
      <c r="CE47" s="51">
        <f t="shared" si="80"/>
        <v>1.1463439617762987E-2</v>
      </c>
      <c r="CF47" s="51">
        <f t="shared" si="80"/>
        <v>1.1463439617762987E-2</v>
      </c>
      <c r="CG47" s="51">
        <f t="shared" si="80"/>
        <v>1.1463439617762987E-2</v>
      </c>
      <c r="CH47" s="51">
        <f t="shared" si="80"/>
        <v>1.1463439617762987E-2</v>
      </c>
      <c r="CI47" s="51">
        <f t="shared" si="80"/>
        <v>1.1463439617762987E-2</v>
      </c>
      <c r="CJ47" s="51">
        <f t="shared" si="80"/>
        <v>1.1463439617762987E-2</v>
      </c>
      <c r="CK47" s="51">
        <f t="shared" si="80"/>
        <v>1.1463439617762987E-2</v>
      </c>
      <c r="CL47" s="51">
        <f t="shared" si="80"/>
        <v>1.1463439617762987E-2</v>
      </c>
      <c r="CM47" s="51">
        <f t="shared" si="80"/>
        <v>1.1463439617762987E-2</v>
      </c>
      <c r="CN47" s="51">
        <f t="shared" si="80"/>
        <v>1.1463439617762987E-2</v>
      </c>
      <c r="CO47" s="51">
        <f t="shared" si="80"/>
        <v>1.1463439617762987E-2</v>
      </c>
      <c r="CP47" s="51">
        <f t="shared" si="80"/>
        <v>1.1463439617762987E-2</v>
      </c>
      <c r="CQ47" s="51">
        <f t="shared" si="80"/>
        <v>1.1463439617762987E-2</v>
      </c>
      <c r="CR47" s="51">
        <f t="shared" si="80"/>
        <v>1.1463439617762987E-2</v>
      </c>
      <c r="CS47" s="51">
        <f t="shared" si="80"/>
        <v>1.1463439617762987E-2</v>
      </c>
      <c r="CT47" s="51">
        <f t="shared" si="80"/>
        <v>1.1463439617762987E-2</v>
      </c>
      <c r="CU47" s="51">
        <f t="shared" si="80"/>
        <v>1.1463439617762987E-2</v>
      </c>
      <c r="CV47" s="51">
        <f t="shared" si="80"/>
        <v>1.1463439617762987E-2</v>
      </c>
      <c r="CW47" s="51">
        <f t="shared" si="80"/>
        <v>1.1463439617762987E-2</v>
      </c>
      <c r="CX47" s="51">
        <f t="shared" si="80"/>
        <v>1.1463439617762987E-2</v>
      </c>
    </row>
  </sheetData>
  <pageMargins left="0.7" right="0.7" top="0.75" bottom="0.75" header="0.3" footer="0.3"/>
  <pageSetup paperSize="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9"/>
  <sheetViews>
    <sheetView workbookViewId="0">
      <selection activeCell="F13" sqref="F13"/>
    </sheetView>
  </sheetViews>
  <sheetFormatPr defaultRowHeight="15"/>
  <cols>
    <col min="1" max="1" width="9.140625" customWidth="1"/>
    <col min="2" max="2" width="13.42578125" customWidth="1"/>
  </cols>
  <sheetData>
    <row r="1" spans="2:4" s="107" customFormat="1"/>
    <row r="2" spans="2:4" s="107" customFormat="1">
      <c r="B2" s="194" t="s">
        <v>361</v>
      </c>
    </row>
    <row r="3" spans="2:4" s="107" customFormat="1">
      <c r="B3" s="107" t="s">
        <v>362</v>
      </c>
    </row>
    <row r="4" spans="2:4" s="107" customFormat="1">
      <c r="B4" s="107" t="s">
        <v>363</v>
      </c>
      <c r="C4" s="107">
        <v>0.34</v>
      </c>
      <c r="D4" s="6">
        <f>(1+C4)^(1/25)</f>
        <v>1.0117755771454358</v>
      </c>
    </row>
    <row r="5" spans="2:4" s="107" customFormat="1">
      <c r="B5" s="107" t="s">
        <v>364</v>
      </c>
      <c r="C5" s="107">
        <v>0.28999999999999998</v>
      </c>
      <c r="D5" s="6">
        <f>(1+C5)^(1/25)</f>
        <v>1.0102377394364206</v>
      </c>
    </row>
    <row r="7" spans="2:4">
      <c r="B7" t="s">
        <v>356</v>
      </c>
    </row>
    <row r="8" spans="2:4">
      <c r="B8" s="107" t="s">
        <v>363</v>
      </c>
      <c r="C8" s="51">
        <f>D4-1</f>
        <v>1.1775577145435756E-2</v>
      </c>
    </row>
    <row r="9" spans="2:4">
      <c r="B9" s="107" t="s">
        <v>364</v>
      </c>
      <c r="C9" s="51">
        <f>D5-1</f>
        <v>1.023773943642059E-2</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13"/>
  <sheetViews>
    <sheetView workbookViewId="0">
      <selection activeCell="D7" sqref="D7"/>
    </sheetView>
  </sheetViews>
  <sheetFormatPr defaultRowHeight="15"/>
  <cols>
    <col min="1" max="1" width="12.7109375" style="107" bestFit="1" customWidth="1"/>
    <col min="2" max="2" width="21.7109375" style="107" customWidth="1"/>
    <col min="3" max="3" width="24.7109375" style="107" customWidth="1"/>
    <col min="4" max="4" width="22.7109375" bestFit="1" customWidth="1"/>
    <col min="5" max="5" width="19" bestFit="1" customWidth="1"/>
    <col min="6" max="6" width="35.5703125" bestFit="1" customWidth="1"/>
  </cols>
  <sheetData>
    <row r="2" spans="1:10">
      <c r="B2" s="107" t="s">
        <v>372</v>
      </c>
      <c r="C2" s="107" t="s">
        <v>373</v>
      </c>
      <c r="D2" s="107" t="s">
        <v>374</v>
      </c>
      <c r="G2" s="107"/>
      <c r="H2" s="107"/>
      <c r="I2" s="107"/>
      <c r="J2" s="107"/>
    </row>
    <row r="3" spans="1:10">
      <c r="A3" s="107">
        <v>2010</v>
      </c>
      <c r="B3" s="186">
        <f>SUM('Typhushåll 2010'!B19,'Typhushåll 2010'!B21,'Typhushåll 2010'!B26,'Typhushåll 2010'!B27,'Typhushåll 2010'!B28)</f>
        <v>4022.5456955469062</v>
      </c>
      <c r="C3" s="186">
        <f>SUM('Typhushåll 2010'!C19,'Typhushåll 2010'!C21,'Typhushåll 2010'!C26,'Typhushåll 2010'!C27,'Typhushåll 2010'!C28)</f>
        <v>2081.8423319766425</v>
      </c>
      <c r="D3" s="186">
        <f>SUM('Typhushåll 2010'!D19,'Typhushåll 2010'!D21,'Typhushåll 2010'!D26,'Typhushåll 2010'!D27,'Typhushåll 2010'!D28)</f>
        <v>3094.6872711960068</v>
      </c>
    </row>
    <row r="4" spans="1:10">
      <c r="A4" s="107" t="s">
        <v>369</v>
      </c>
      <c r="B4" s="186">
        <f>SUM('BAU 2050'!B19,'BAU 2050'!B21,'BAU 2050'!B26,'BAU 2050'!B27,'BAU 2050'!B28)</f>
        <v>5010.0841440839522</v>
      </c>
      <c r="C4" s="186">
        <f>SUM('BAU 2050'!C19,'BAU 2050'!C21,'BAU 2050'!C26,'BAU 2050'!C27,'BAU 2050'!C28)</f>
        <v>3063.9434257437761</v>
      </c>
      <c r="D4" s="186">
        <f>SUM('BAU 2050'!D19,'BAU 2050'!D21,'BAU 2050'!D26,'BAU 2050'!D27,'BAU 2050'!D28)</f>
        <v>3859.6224148805072</v>
      </c>
    </row>
    <row r="5" spans="1:10">
      <c r="A5" s="107" t="s">
        <v>370</v>
      </c>
      <c r="B5" s="186">
        <f>SUM('DKI 2050'!B21,'DKI 2050'!B23,'DKI 2050'!B28,'DKI 2050'!B29,'DKI 2050'!B30)</f>
        <v>2037.5300187458952</v>
      </c>
      <c r="C5" s="186">
        <f>SUM('DKI 2050'!C21,'DKI 2050'!C23,'DKI 2050'!C28,'DKI 2050'!C29,'DKI 2050'!C30)</f>
        <v>1832.0253143021955</v>
      </c>
      <c r="D5" s="186">
        <f>SUM('DKI 2050'!D21,'DKI 2050'!D23,'DKI 2050'!D28,'DKI 2050'!D29,'DKI 2050'!D30)</f>
        <v>1630.081295644768</v>
      </c>
    </row>
    <row r="6" spans="1:10">
      <c r="A6" s="107" t="s">
        <v>371</v>
      </c>
      <c r="B6" s="186">
        <f>SUM('KLIMAT 2050'!B21,'KLIMAT 2050'!B23,'KLIMAT 2050'!B28,'KLIMAT 2050'!B29,'KLIMAT 2050'!B30)</f>
        <v>600.97441274665141</v>
      </c>
      <c r="C6" s="186">
        <f>SUM('KLIMAT 2050'!C21,'KLIMAT 2050'!C23,'KLIMAT 2050'!C28,'KLIMAT 2050'!C29,'KLIMAT 2050'!C30)</f>
        <v>545.43268679038226</v>
      </c>
      <c r="D6" s="186">
        <f>SUM('KLIMAT 2050'!D21,'KLIMAT 2050'!D23,'KLIMAT 2050'!D28,'KLIMAT 2050'!D29,'KLIMAT 2050'!D30)</f>
        <v>579.0633491447328</v>
      </c>
    </row>
    <row r="9" spans="1:10">
      <c r="B9" s="107" t="s">
        <v>372</v>
      </c>
      <c r="C9" s="107" t="s">
        <v>373</v>
      </c>
      <c r="D9" s="107" t="s">
        <v>374</v>
      </c>
    </row>
    <row r="10" spans="1:10">
      <c r="A10" s="107">
        <v>2010</v>
      </c>
      <c r="D10" s="107"/>
    </row>
    <row r="11" spans="1:10">
      <c r="A11" s="107" t="s">
        <v>369</v>
      </c>
      <c r="B11" s="107">
        <f t="shared" ref="B11:D12" si="0">B4/$B$3</f>
        <v>1.2455008651934729</v>
      </c>
      <c r="C11" s="107">
        <f t="shared" si="0"/>
        <v>0.76169263387999908</v>
      </c>
      <c r="D11" s="81">
        <f t="shared" si="0"/>
        <v>0.95949746926510726</v>
      </c>
    </row>
    <row r="12" spans="1:10">
      <c r="A12" s="107" t="s">
        <v>370</v>
      </c>
      <c r="B12" s="107">
        <f t="shared" si="0"/>
        <v>0.50652750098066246</v>
      </c>
      <c r="C12" s="107">
        <f t="shared" si="0"/>
        <v>0.45543927974026732</v>
      </c>
      <c r="D12" s="81">
        <f t="shared" si="0"/>
        <v>0.40523624068443098</v>
      </c>
    </row>
    <row r="13" spans="1:10">
      <c r="A13" s="107" t="s">
        <v>371</v>
      </c>
      <c r="B13" s="107">
        <f t="shared" ref="B13:C13" si="1">B6/$B$3</f>
        <v>0.14940151293046847</v>
      </c>
      <c r="C13" s="107">
        <f t="shared" si="1"/>
        <v>0.13559390696150317</v>
      </c>
      <c r="D13" s="81">
        <f>D6/$B$3</f>
        <v>0.14395444899128815</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
  <sheetViews>
    <sheetView workbookViewId="0">
      <selection activeCell="E28" sqref="E28"/>
    </sheetView>
  </sheetViews>
  <sheetFormatPr defaultRowHeight="15"/>
  <cols>
    <col min="1" max="3" width="9.140625" style="107"/>
    <col min="4" max="4" width="35.28515625" customWidth="1"/>
  </cols>
  <sheetData>
    <row r="1" spans="2:8">
      <c r="B1" s="107" t="s">
        <v>12</v>
      </c>
      <c r="C1" s="107" t="s">
        <v>179</v>
      </c>
      <c r="D1" t="s">
        <v>179</v>
      </c>
      <c r="E1" t="s">
        <v>179</v>
      </c>
      <c r="F1" t="s">
        <v>180</v>
      </c>
      <c r="G1" t="s">
        <v>181</v>
      </c>
      <c r="H1" t="s">
        <v>182</v>
      </c>
    </row>
    <row r="2" spans="2:8">
      <c r="B2" s="107" t="s">
        <v>326</v>
      </c>
      <c r="C2" s="107">
        <v>117</v>
      </c>
      <c r="D2">
        <v>143</v>
      </c>
      <c r="E2">
        <v>143</v>
      </c>
      <c r="F2">
        <v>117</v>
      </c>
      <c r="G2">
        <v>39</v>
      </c>
      <c r="H2">
        <v>137.80000000000001</v>
      </c>
    </row>
    <row r="3" spans="2:8">
      <c r="B3" s="107" t="s">
        <v>327</v>
      </c>
      <c r="C3" s="107">
        <v>5175.2549148702956</v>
      </c>
      <c r="D3">
        <v>2176.030427637957</v>
      </c>
      <c r="E3">
        <v>3002.9719563958947</v>
      </c>
      <c r="F3">
        <v>5175.2549148702956</v>
      </c>
      <c r="G3">
        <v>5175.2549148702956</v>
      </c>
      <c r="H3">
        <v>3120.842757541694</v>
      </c>
    </row>
    <row r="6" spans="2:8">
      <c r="D6" s="107"/>
      <c r="E6" s="107"/>
      <c r="F6" s="107"/>
      <c r="G6" s="107"/>
    </row>
    <row r="7" spans="2:8">
      <c r="C7" s="193"/>
      <c r="D7" s="193"/>
      <c r="E7" s="193"/>
      <c r="F7" s="107"/>
      <c r="G7" s="107"/>
    </row>
    <row r="8" spans="2:8">
      <c r="C8" s="193"/>
      <c r="D8" s="193"/>
      <c r="E8" s="193"/>
      <c r="F8" s="107"/>
      <c r="G8" s="107"/>
    </row>
    <row r="9" spans="2:8">
      <c r="C9" s="193"/>
      <c r="D9" s="193"/>
      <c r="E9" s="193"/>
      <c r="F9" s="107"/>
      <c r="G9" s="107"/>
    </row>
    <row r="10" spans="2:8">
      <c r="C10" s="193"/>
      <c r="D10" s="193"/>
      <c r="E10" s="193"/>
      <c r="F10" s="107"/>
      <c r="G10" s="107"/>
    </row>
    <row r="11" spans="2:8">
      <c r="C11" s="193"/>
      <c r="D11" s="193"/>
      <c r="E11" s="193"/>
      <c r="F11" s="107"/>
      <c r="G11" s="107"/>
    </row>
    <row r="12" spans="2:8">
      <c r="C12" s="193"/>
      <c r="D12" s="193"/>
      <c r="E12" s="193"/>
      <c r="F12" s="107"/>
      <c r="G12" s="107"/>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81"/>
  <sheetViews>
    <sheetView zoomScale="80" zoomScaleNormal="80" workbookViewId="0">
      <pane xSplit="1" topLeftCell="B1" activePane="topRight" state="frozen"/>
      <selection pane="topRight" activeCell="D58" sqref="D58"/>
    </sheetView>
  </sheetViews>
  <sheetFormatPr defaultRowHeight="15"/>
  <cols>
    <col min="1" max="1" width="42.42578125" style="74" bestFit="1" customWidth="1"/>
    <col min="2" max="2" width="32" style="6" bestFit="1" customWidth="1"/>
    <col min="3" max="3" width="34.85546875" style="6" bestFit="1" customWidth="1"/>
    <col min="4" max="4" width="33.42578125" style="6" customWidth="1"/>
    <col min="5" max="16384" width="9.140625" style="73"/>
  </cols>
  <sheetData>
    <row r="1" spans="1:5" ht="18.75">
      <c r="B1" s="72" t="s">
        <v>15</v>
      </c>
      <c r="C1" s="72" t="s">
        <v>10</v>
      </c>
      <c r="D1" s="72" t="s">
        <v>9</v>
      </c>
      <c r="E1" s="74"/>
    </row>
    <row r="2" spans="1:5" ht="18.75">
      <c r="A2" s="72"/>
      <c r="B2" s="201" t="s">
        <v>385</v>
      </c>
      <c r="C2" s="201" t="s">
        <v>386</v>
      </c>
      <c r="D2" s="201" t="s">
        <v>387</v>
      </c>
      <c r="E2" s="74"/>
    </row>
    <row r="3" spans="1:5">
      <c r="A3" s="74" t="s">
        <v>318</v>
      </c>
      <c r="B3" s="94">
        <f>'Typhushåll 2010'!B3*(1.02^(40))</f>
        <v>1597885.4392491691</v>
      </c>
      <c r="C3" s="94">
        <f>'Typhushåll 2010'!C3*(1.02^(40))</f>
        <v>648613.85922652634</v>
      </c>
      <c r="D3" s="94">
        <f>'Typhushåll 2010'!D3*(1.02^(40))</f>
        <v>490672.78208815597</v>
      </c>
    </row>
    <row r="4" spans="1:5">
      <c r="A4" s="74" t="s">
        <v>319</v>
      </c>
      <c r="B4" s="94">
        <f>'Typhushåll 2010'!B4*1.015^40</f>
        <v>228.56631949228662</v>
      </c>
      <c r="C4" s="94">
        <f>'Typhushåll 2010'!C4*1.015^40</f>
        <v>137.86539905883956</v>
      </c>
      <c r="D4" s="94">
        <f>'Typhushåll 2010'!D4*1.015^40</f>
        <v>137.86539905883956</v>
      </c>
    </row>
    <row r="5" spans="1:5">
      <c r="A5" s="74" t="s">
        <v>1</v>
      </c>
      <c r="B5" s="94" t="s">
        <v>4</v>
      </c>
      <c r="C5" s="94" t="s">
        <v>8</v>
      </c>
      <c r="D5" s="94" t="s">
        <v>11</v>
      </c>
    </row>
    <row r="6" spans="1:5">
      <c r="A6" s="74" t="s">
        <v>320</v>
      </c>
      <c r="B6" s="94" t="s">
        <v>5</v>
      </c>
      <c r="C6" s="94" t="s">
        <v>5</v>
      </c>
      <c r="D6" s="94"/>
    </row>
    <row r="7" spans="1:5">
      <c r="A7" s="108" t="s">
        <v>389</v>
      </c>
      <c r="B7" s="94" t="s">
        <v>6</v>
      </c>
      <c r="C7" s="94" t="s">
        <v>7</v>
      </c>
      <c r="D7" s="94">
        <v>1.7</v>
      </c>
    </row>
    <row r="8" spans="1:5">
      <c r="A8" s="74" t="s">
        <v>184</v>
      </c>
      <c r="B8" s="94">
        <v>3</v>
      </c>
      <c r="C8" s="94">
        <v>3</v>
      </c>
      <c r="D8" s="94">
        <v>1.52</v>
      </c>
    </row>
    <row r="9" spans="1:5">
      <c r="A9" s="74" t="s">
        <v>321</v>
      </c>
      <c r="B9" s="94">
        <f t="shared" ref="B9:D9" si="0">B3/B8</f>
        <v>532628.47974972299</v>
      </c>
      <c r="C9" s="94">
        <f t="shared" si="0"/>
        <v>216204.61974217545</v>
      </c>
      <c r="D9" s="94">
        <f t="shared" si="0"/>
        <v>322811.04084747104</v>
      </c>
    </row>
    <row r="10" spans="1:5">
      <c r="B10" s="67"/>
      <c r="C10" s="67"/>
      <c r="D10" s="67"/>
    </row>
    <row r="11" spans="1:5" s="82" customFormat="1">
      <c r="A11" s="74" t="s">
        <v>16</v>
      </c>
      <c r="B11" s="86">
        <v>3</v>
      </c>
      <c r="C11" s="86">
        <v>1</v>
      </c>
      <c r="D11" s="86">
        <f>'Typhushåll 2010'!D11</f>
        <v>0.57800000000000007</v>
      </c>
    </row>
    <row r="12" spans="1:5" s="82" customFormat="1">
      <c r="A12" s="74" t="s">
        <v>317</v>
      </c>
      <c r="B12" s="86">
        <f>'Typhushåll 2010'!B12</f>
        <v>18562</v>
      </c>
      <c r="C12" s="86">
        <f>'Typhushåll 2010'!D12*(1+'Biltrafik BAU'!G38)</f>
        <v>6703.7965700399509</v>
      </c>
      <c r="D12" s="86">
        <f>'Typhushåll 2010'!D12*(1+'Biltrafik BAU'!G38)</f>
        <v>6703.7965700399509</v>
      </c>
    </row>
    <row r="13" spans="1:5" s="82" customFormat="1">
      <c r="A13" s="74" t="s">
        <v>322</v>
      </c>
      <c r="B13" s="86">
        <f>'Typhushåll 2010'!B13</f>
        <v>8297</v>
      </c>
      <c r="C13" s="86">
        <f>'Typhushåll 2010'!C13</f>
        <v>0</v>
      </c>
      <c r="D13" s="86"/>
    </row>
    <row r="14" spans="1:5" s="82" customFormat="1">
      <c r="A14" s="74" t="s">
        <v>338</v>
      </c>
      <c r="B14" s="86">
        <f>('Typhushåll 2010'!B12+'Typhushåll 2010'!B13)*'Biltrafik BAU'!$G$35</f>
        <v>13695.478371511746</v>
      </c>
      <c r="C14" s="86">
        <f>('Typhushåll 2010'!C12+'Typhushåll 2010'!C13)*'Biltrafik BAU'!$G$35</f>
        <v>0</v>
      </c>
      <c r="D14" s="86"/>
    </row>
    <row r="15" spans="1:5" s="82" customFormat="1">
      <c r="A15" s="74" t="s">
        <v>314</v>
      </c>
      <c r="B15" s="86">
        <f>'Typhushåll 2010'!B15*0.994^40</f>
        <v>161.1421808459458</v>
      </c>
      <c r="C15" s="86">
        <f>B17</f>
        <v>113.97861572030314</v>
      </c>
      <c r="D15" s="86">
        <f>'Typhushåll 2010'!D15*0.994^40</f>
        <v>142.74839044694517</v>
      </c>
    </row>
    <row r="16" spans="1:5" s="82" customFormat="1">
      <c r="A16" s="74" t="s">
        <v>315</v>
      </c>
      <c r="B16" s="86">
        <f>'Typhushåll 2010'!B16*0.994^40</f>
        <v>113.97861572030314</v>
      </c>
      <c r="C16" s="86">
        <f>'Typhushåll 2010'!C16*0.994^40</f>
        <v>0</v>
      </c>
      <c r="D16" s="86"/>
    </row>
    <row r="17" spans="1:4" s="70" customFormat="1">
      <c r="A17" s="74" t="s">
        <v>337</v>
      </c>
      <c r="B17" s="86">
        <f>B16</f>
        <v>113.97861572030314</v>
      </c>
      <c r="C17" s="86">
        <f>C16</f>
        <v>0</v>
      </c>
      <c r="D17" s="86"/>
    </row>
    <row r="18" spans="1:4" s="70" customFormat="1">
      <c r="A18" s="68" t="s">
        <v>330</v>
      </c>
      <c r="B18" s="86">
        <f>(((B12*B15)+(B13*B16)+(B14*B17))*'Emissionsfaktorer bränslen'!$E$8)/1000</f>
        <v>6052.0902195624531</v>
      </c>
      <c r="C18" s="86">
        <f>(((C12*C15)+(C13*C16)+(C14*C17))*'Emissionsfaktorer bränslen'!$E$8)/1000</f>
        <v>841.12624248800375</v>
      </c>
      <c r="D18" s="86"/>
    </row>
    <row r="19" spans="1:4" s="71" customFormat="1">
      <c r="A19" s="68" t="s">
        <v>331</v>
      </c>
      <c r="B19" s="86">
        <f>B18/B8</f>
        <v>2017.3634065208178</v>
      </c>
      <c r="C19" s="86">
        <f t="shared" ref="C19" si="1">C18/C8</f>
        <v>280.37541416266794</v>
      </c>
      <c r="D19" s="86">
        <f>D12*D15*'Emissionsfaktorer bränslen'!$E$8/1000</f>
        <v>1053.4381078332515</v>
      </c>
    </row>
    <row r="20" spans="1:4" s="71" customFormat="1">
      <c r="A20" s="68" t="s">
        <v>323</v>
      </c>
      <c r="B20" s="86">
        <f>'data från trafikkontoret'!D59</f>
        <v>2608.1249641792324</v>
      </c>
      <c r="C20" s="86">
        <f>'data från trafikkontoret'!D55</f>
        <v>3979.4265674798839</v>
      </c>
      <c r="D20" s="86">
        <f>kollektivtrafik!B25</f>
        <v>1299.5150729764871</v>
      </c>
    </row>
    <row r="21" spans="1:4" s="71" customFormat="1">
      <c r="A21" s="68" t="s">
        <v>324</v>
      </c>
      <c r="B21" s="86">
        <f>B20*kollektivtrafik!$J$17</f>
        <v>55.126619286069001</v>
      </c>
      <c r="C21" s="185">
        <f>C20*kollektivtrafik!$J$17</f>
        <v>84.111128253153936</v>
      </c>
      <c r="D21" s="185">
        <f>D20*kollektivtrafik!$J$17</f>
        <v>27.467193354758276</v>
      </c>
    </row>
    <row r="22" spans="1:4" s="71" customFormat="1">
      <c r="A22" s="68" t="s">
        <v>325</v>
      </c>
      <c r="B22" s="86">
        <f>'Flyg BAU'!B8</f>
        <v>5159.5768205374443</v>
      </c>
      <c r="C22" s="86">
        <f>D22/2</f>
        <v>1151.6912545842511</v>
      </c>
      <c r="D22" s="86">
        <f>'Flyg BAU'!D8</f>
        <v>2303.3825091685021</v>
      </c>
    </row>
    <row r="23" spans="1:4" s="71" customFormat="1">
      <c r="A23" s="68" t="s">
        <v>12</v>
      </c>
      <c r="B23" s="185" t="s">
        <v>179</v>
      </c>
      <c r="C23" s="185" t="s">
        <v>179</v>
      </c>
      <c r="D23" s="185" t="s">
        <v>182</v>
      </c>
    </row>
    <row r="24" spans="1:4" s="71" customFormat="1">
      <c r="A24" s="68" t="s">
        <v>326</v>
      </c>
      <c r="B24" s="86">
        <v>117</v>
      </c>
      <c r="C24" s="86">
        <v>143</v>
      </c>
      <c r="D24" s="86">
        <f>(0.8*143)+(0.2*117)</f>
        <v>137.80000000000001</v>
      </c>
    </row>
    <row r="25" spans="1:4" s="71" customFormat="1">
      <c r="A25" s="68" t="s">
        <v>327</v>
      </c>
      <c r="B25" s="86">
        <f>'Typhushåll 2010'!B25*'elanvändning BAU'!$S$14</f>
        <v>5175.2549148702956</v>
      </c>
      <c r="C25" s="86">
        <f>'Typhushåll 2010'!C25*'elanvändning BAU'!$S$14</f>
        <v>4634.3701989304363</v>
      </c>
      <c r="D25" s="86">
        <f>'Typhushåll 2010'!D25*'elanvändning BAU'!$S$14</f>
        <v>3120.842757541694</v>
      </c>
    </row>
    <row r="26" spans="1:4" s="68" customFormat="1">
      <c r="A26" s="68" t="s">
        <v>328</v>
      </c>
      <c r="B26" s="86">
        <f>(B24*'emissionsfaktorer variabla'!$B$3*B4)/(B8*1000)</f>
        <v>820.09595433832442</v>
      </c>
      <c r="C26" s="86">
        <f>(C24*'emissionsfaktorer variabla'!$B$3*C4)/(C8*1000)</f>
        <v>604.5857300060311</v>
      </c>
      <c r="D26" s="86">
        <f>'Typhushåll 2010'!D26*('BAU 2050'!D4/'Typhushåll 2010'!D4)</f>
        <v>620.04226759283779</v>
      </c>
    </row>
    <row r="27" spans="1:4" s="68" customFormat="1">
      <c r="A27" s="68" t="s">
        <v>329</v>
      </c>
      <c r="B27" s="86">
        <f>(B25*'emissionsfaktorer variabla'!$B$10)/(B8*1000)</f>
        <v>216.4981639387407</v>
      </c>
      <c r="C27" s="86">
        <f>(C25*'emissionsfaktorer variabla'!$B$10)/(C8*1000)</f>
        <v>193.87115332192326</v>
      </c>
      <c r="D27" s="86">
        <f>(D25*'emissionsfaktorer variabla'!$B$10)/(D8*1000)</f>
        <v>257.67484609965965</v>
      </c>
    </row>
    <row r="28" spans="1:4" s="71" customFormat="1">
      <c r="A28" s="68" t="s">
        <v>332</v>
      </c>
      <c r="B28" s="86">
        <v>1901</v>
      </c>
      <c r="C28" s="185">
        <v>1901</v>
      </c>
      <c r="D28" s="185">
        <v>1901</v>
      </c>
    </row>
    <row r="29" spans="1:4" s="71" customFormat="1">
      <c r="A29" s="68" t="s">
        <v>333</v>
      </c>
      <c r="B29" s="86">
        <f>'Typhushåll 2010'!B29*(1.02)^40*(0.991)^40</f>
        <v>2878.8710935067302</v>
      </c>
      <c r="C29" s="185">
        <f>'Typhushåll 2010'!C29*(1.02)^40*(0.991)^40</f>
        <v>1617.3940129920809</v>
      </c>
      <c r="D29" s="185">
        <f>'Typhushåll 2010'!D29*(1.02)^40*(0.991)^40</f>
        <v>2218.9226724833288</v>
      </c>
    </row>
    <row r="30" spans="1:4" s="71" customFormat="1">
      <c r="A30" s="68" t="s">
        <v>334</v>
      </c>
      <c r="B30" s="86">
        <v>1740</v>
      </c>
      <c r="C30" s="86">
        <v>1740</v>
      </c>
      <c r="D30" s="86">
        <v>1740</v>
      </c>
    </row>
    <row r="31" spans="1:4" s="68" customFormat="1">
      <c r="A31" s="68" t="s">
        <v>335</v>
      </c>
      <c r="B31" s="101">
        <f>(B19+B21+B22+B26+B27+B28+B29+B30)/1000</f>
        <v>14.788532058128126</v>
      </c>
      <c r="C31" s="101">
        <f t="shared" ref="C31" si="2">(C19+C21+C22+C26+C27+C28+C29+C30)/1000</f>
        <v>7.5730286933201088</v>
      </c>
      <c r="D31" s="101">
        <f>(D19+D21+D22+D26+D27+D28+D29+D30)/1000</f>
        <v>10.121927596532338</v>
      </c>
    </row>
    <row r="35" spans="1:6">
      <c r="A35" s="83"/>
      <c r="B35" s="107" t="s">
        <v>422</v>
      </c>
      <c r="C35" s="107" t="s">
        <v>423</v>
      </c>
      <c r="D35" s="107" t="s">
        <v>384</v>
      </c>
    </row>
    <row r="36" spans="1:6">
      <c r="A36" s="108" t="s">
        <v>185</v>
      </c>
      <c r="B36" s="199">
        <f>B30/1000</f>
        <v>1.74</v>
      </c>
      <c r="C36" s="199">
        <f t="shared" ref="C36:D36" si="3">C30/1000</f>
        <v>1.74</v>
      </c>
      <c r="D36" s="199">
        <f t="shared" si="3"/>
        <v>1.74</v>
      </c>
      <c r="E36" s="84"/>
      <c r="F36" s="84"/>
    </row>
    <row r="37" spans="1:6">
      <c r="A37" s="108" t="s">
        <v>377</v>
      </c>
      <c r="B37" s="199">
        <f>B28/1000</f>
        <v>1.901</v>
      </c>
      <c r="C37" s="199">
        <f t="shared" ref="C37:D37" si="4">C28/1000</f>
        <v>1.901</v>
      </c>
      <c r="D37" s="199">
        <f t="shared" si="4"/>
        <v>1.901</v>
      </c>
      <c r="E37" s="6"/>
      <c r="F37" s="6"/>
    </row>
    <row r="38" spans="1:6">
      <c r="A38" s="108" t="s">
        <v>376</v>
      </c>
      <c r="B38" s="199">
        <f>B26/1000</f>
        <v>0.82009595433832438</v>
      </c>
      <c r="C38" s="199">
        <f t="shared" ref="C38:D38" si="5">C26/1000</f>
        <v>0.60458573000603111</v>
      </c>
      <c r="D38" s="199">
        <f t="shared" si="5"/>
        <v>0.62004226759283776</v>
      </c>
      <c r="E38" s="84"/>
      <c r="F38" s="84"/>
    </row>
    <row r="39" spans="1:6">
      <c r="A39" s="108" t="s">
        <v>428</v>
      </c>
      <c r="B39" s="199">
        <f>B27/1000</f>
        <v>0.21649816393874069</v>
      </c>
      <c r="C39" s="199">
        <f t="shared" ref="C39:D39" si="6">C27/1000</f>
        <v>0.19387115332192326</v>
      </c>
      <c r="D39" s="199">
        <f t="shared" si="6"/>
        <v>0.25767484609965963</v>
      </c>
      <c r="E39" s="84"/>
      <c r="F39" s="84"/>
    </row>
    <row r="40" spans="1:6">
      <c r="A40" s="108" t="s">
        <v>375</v>
      </c>
      <c r="B40" s="199">
        <f>B21/1000</f>
        <v>5.5126619286069004E-2</v>
      </c>
      <c r="C40" s="199">
        <f t="shared" ref="C40:D40" si="7">C21/1000</f>
        <v>8.4111128253153936E-2</v>
      </c>
      <c r="D40" s="199">
        <f t="shared" si="7"/>
        <v>2.7467193354758276E-2</v>
      </c>
      <c r="E40" s="84"/>
      <c r="F40" s="84"/>
    </row>
    <row r="41" spans="1:6">
      <c r="A41" s="108" t="s">
        <v>227</v>
      </c>
      <c r="B41" s="199">
        <f>B19/1000</f>
        <v>2.0173634065208179</v>
      </c>
      <c r="C41" s="199">
        <f t="shared" ref="C41:D41" si="8">C19/1000</f>
        <v>0.28037541416266792</v>
      </c>
      <c r="D41" s="199">
        <f t="shared" si="8"/>
        <v>1.0534381078332515</v>
      </c>
      <c r="E41" s="84"/>
      <c r="F41" s="84"/>
    </row>
    <row r="42" spans="1:6">
      <c r="A42" s="108" t="s">
        <v>221</v>
      </c>
      <c r="B42" s="199">
        <f>B29/1000</f>
        <v>2.8788710935067301</v>
      </c>
      <c r="C42" s="199">
        <f t="shared" ref="C42:D42" si="9">C29/1000</f>
        <v>1.617394012992081</v>
      </c>
      <c r="D42" s="199">
        <f t="shared" si="9"/>
        <v>2.2189226724833286</v>
      </c>
      <c r="E42" s="84"/>
      <c r="F42" s="84"/>
    </row>
    <row r="43" spans="1:6">
      <c r="A43" s="108" t="s">
        <v>378</v>
      </c>
      <c r="B43" s="199">
        <f>B22/1000</f>
        <v>5.1595768205374446</v>
      </c>
      <c r="C43" s="199">
        <f t="shared" ref="C43:D43" si="10">C22/1000</f>
        <v>1.151691254584251</v>
      </c>
      <c r="D43" s="199">
        <f t="shared" si="10"/>
        <v>2.3033825091685021</v>
      </c>
      <c r="E43" s="84"/>
      <c r="F43" s="84"/>
    </row>
    <row r="44" spans="1:6">
      <c r="B44" s="84"/>
    </row>
    <row r="51" spans="1:1">
      <c r="A51" s="108"/>
    </row>
    <row r="52" spans="1:1">
      <c r="A52" s="108"/>
    </row>
    <row r="53" spans="1:1">
      <c r="A53" s="108"/>
    </row>
    <row r="54" spans="1:1">
      <c r="A54" s="108"/>
    </row>
    <row r="55" spans="1:1">
      <c r="A55" s="108"/>
    </row>
    <row r="56" spans="1:1">
      <c r="A56" s="108"/>
    </row>
    <row r="57" spans="1:1">
      <c r="A57" s="108"/>
    </row>
    <row r="58" spans="1:1">
      <c r="A58" s="108"/>
    </row>
    <row r="76" spans="1:3">
      <c r="A76" s="83"/>
      <c r="B76" s="22"/>
      <c r="C76" s="22"/>
    </row>
    <row r="77" spans="1:3">
      <c r="A77" s="83"/>
      <c r="B77" s="22"/>
      <c r="C77" s="22"/>
    </row>
    <row r="78" spans="1:3">
      <c r="A78" s="83"/>
      <c r="B78" s="22"/>
      <c r="C78" s="22"/>
    </row>
    <row r="79" spans="1:3">
      <c r="A79" s="83"/>
      <c r="B79" s="22"/>
      <c r="C79" s="22"/>
    </row>
    <row r="80" spans="1:3">
      <c r="A80" s="83"/>
      <c r="B80" s="22"/>
      <c r="C80" s="22"/>
    </row>
    <row r="81" spans="1:3">
      <c r="A81" s="83"/>
      <c r="B81" s="22"/>
      <c r="C81" s="22"/>
    </row>
  </sheetData>
  <pageMargins left="0.7" right="0.7" top="0.75" bottom="0.75" header="0.3" footer="0.3"/>
  <pageSetup paperSize="9" orientation="landscape" r:id="rId1"/>
  <drawing r:id="rId2"/>
  <legacyDrawing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A2" sqref="A2"/>
    </sheetView>
  </sheetViews>
  <sheetFormatPr defaultRowHeight="15"/>
  <sheetData>
    <row r="1" spans="1:1">
      <c r="A1">
        <f>0.83*0.7</f>
        <v>0.58099999999999996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57"/>
  <sheetViews>
    <sheetView topLeftCell="A34" zoomScaleNormal="100" workbookViewId="0">
      <pane xSplit="1" topLeftCell="B1" activePane="topRight" state="frozen"/>
      <selection pane="topRight" activeCell="A41" sqref="A41"/>
    </sheetView>
  </sheetViews>
  <sheetFormatPr defaultRowHeight="15"/>
  <cols>
    <col min="1" max="1" width="42.42578125" style="74" bestFit="1" customWidth="1"/>
    <col min="2" max="2" width="32" style="6" bestFit="1" customWidth="1"/>
    <col min="3" max="3" width="34.85546875" style="6" bestFit="1" customWidth="1"/>
    <col min="4" max="4" width="33.42578125" style="6" customWidth="1"/>
    <col min="5" max="16384" width="9.140625" style="73"/>
  </cols>
  <sheetData>
    <row r="1" spans="1:5" ht="18.75">
      <c r="B1" s="72" t="s">
        <v>15</v>
      </c>
      <c r="C1" s="72" t="s">
        <v>10</v>
      </c>
      <c r="D1" s="72" t="s">
        <v>9</v>
      </c>
      <c r="E1" s="74"/>
    </row>
    <row r="2" spans="1:5" ht="18.75">
      <c r="A2" s="72"/>
      <c r="B2" s="201" t="s">
        <v>422</v>
      </c>
      <c r="C2" s="201" t="s">
        <v>423</v>
      </c>
      <c r="D2" s="201" t="s">
        <v>384</v>
      </c>
      <c r="E2" s="74"/>
    </row>
    <row r="3" spans="1:5">
      <c r="A3" s="74" t="s">
        <v>318</v>
      </c>
      <c r="B3" s="94">
        <f>'Typhushåll 2010'!B3*(1.02^(20))</f>
        <v>1075331.0942054677</v>
      </c>
      <c r="C3" s="94">
        <f>'Typhushåll 2010'!C3*(1.02^(20))</f>
        <v>436498.53351603751</v>
      </c>
      <c r="D3" s="94">
        <f>'Typhushåll 2010'!D3*(1.02^(20))</f>
        <v>330208.71628170589</v>
      </c>
    </row>
    <row r="4" spans="1:5">
      <c r="A4" s="74" t="s">
        <v>319</v>
      </c>
      <c r="B4" s="94">
        <f>'Typhushåll 2010'!B4*1.015^40</f>
        <v>228.56631949228662</v>
      </c>
      <c r="C4" s="94">
        <f>'Typhushåll 2010'!C4*1.015^40</f>
        <v>137.86539905883956</v>
      </c>
      <c r="D4" s="94">
        <f>'Typhushåll 2010'!D4*1.015^40</f>
        <v>137.86539905883956</v>
      </c>
    </row>
    <row r="5" spans="1:5">
      <c r="A5" s="74" t="s">
        <v>1</v>
      </c>
      <c r="B5" s="86" t="s">
        <v>4</v>
      </c>
      <c r="C5" s="86" t="s">
        <v>8</v>
      </c>
      <c r="D5" s="86" t="s">
        <v>11</v>
      </c>
    </row>
    <row r="6" spans="1:5">
      <c r="A6" s="74" t="s">
        <v>320</v>
      </c>
      <c r="B6" s="86" t="s">
        <v>5</v>
      </c>
      <c r="C6" s="86" t="s">
        <v>5</v>
      </c>
      <c r="D6" s="86"/>
    </row>
    <row r="7" spans="1:5">
      <c r="A7" s="108" t="s">
        <v>389</v>
      </c>
      <c r="B7" s="86" t="s">
        <v>6</v>
      </c>
      <c r="C7" s="86" t="s">
        <v>7</v>
      </c>
      <c r="D7" s="86">
        <v>1.7</v>
      </c>
    </row>
    <row r="8" spans="1:5">
      <c r="A8" s="74" t="s">
        <v>184</v>
      </c>
      <c r="B8" s="86">
        <v>3</v>
      </c>
      <c r="C8" s="86">
        <v>3</v>
      </c>
      <c r="D8" s="86">
        <v>1.52</v>
      </c>
    </row>
    <row r="9" spans="1:5">
      <c r="A9" s="74" t="s">
        <v>321</v>
      </c>
      <c r="B9" s="86">
        <f t="shared" ref="B9:D9" si="0">B3/B8</f>
        <v>358443.69806848926</v>
      </c>
      <c r="C9" s="86">
        <f t="shared" si="0"/>
        <v>145499.51117201251</v>
      </c>
      <c r="D9" s="86">
        <f t="shared" si="0"/>
        <v>217242.5765011223</v>
      </c>
    </row>
    <row r="10" spans="1:5">
      <c r="B10" s="67"/>
      <c r="C10" s="67"/>
      <c r="D10" s="67"/>
    </row>
    <row r="11" spans="1:5" s="82" customFormat="1">
      <c r="A11" s="74" t="s">
        <v>16</v>
      </c>
      <c r="B11" s="86">
        <f>'Typhushåll 2010'!B11</f>
        <v>2</v>
      </c>
      <c r="C11" s="185"/>
      <c r="D11" s="185">
        <f>'Typhushåll 2010'!D11</f>
        <v>0.57800000000000007</v>
      </c>
    </row>
    <row r="12" spans="1:5" s="82" customFormat="1">
      <c r="A12" s="108" t="s">
        <v>317</v>
      </c>
      <c r="B12" s="185"/>
      <c r="C12" s="185"/>
      <c r="D12" s="185"/>
    </row>
    <row r="13" spans="1:5" s="82" customFormat="1">
      <c r="A13" s="108" t="s">
        <v>322</v>
      </c>
      <c r="B13" s="185"/>
      <c r="C13" s="86"/>
      <c r="D13" s="185"/>
    </row>
    <row r="14" spans="1:5" s="82" customFormat="1">
      <c r="A14" s="108" t="s">
        <v>348</v>
      </c>
      <c r="B14" s="185">
        <f>(('Typhushåll 2010'!B12+'Typhushåll 2010'!B13)*0.8)-((('Typhushåll 2010'!B12+'Typhushåll 2010'!B13)*0.8*0.2)+(('Typhushåll 2010'!B12+'Typhushåll 2010'!B13)*0.8*0.36))+(('Typhushåll 2010'!B12+'Typhushåll 2010'!B13)*0.8*0.2)</f>
        <v>13751.808000000001</v>
      </c>
      <c r="C14" s="185"/>
      <c r="D14" s="185">
        <f>('Typhushåll 2010'!D12+'Typhushåll 2010'!D13)-((('Typhushåll 2010'!D12+'Typhushåll 2010'!D13)*0.2)+(('Typhushåll 2010'!D12+'Typhushåll 2010'!D13)*0.36))+(('Typhushåll 2010'!D12+'Typhushåll 2010'!D13)*0.2)</f>
        <v>3264</v>
      </c>
    </row>
    <row r="15" spans="1:5" s="82" customFormat="1">
      <c r="A15" s="108" t="s">
        <v>349</v>
      </c>
      <c r="B15" s="185">
        <f>('Typhushåll 2010'!B12+'Typhushåll 2010'!B13)*0.8*0.36</f>
        <v>7735.3919999999998</v>
      </c>
      <c r="C15" s="185"/>
      <c r="D15" s="185">
        <f>('Typhushåll 2010'!D12+'Typhushåll 2010'!D13)*0.36</f>
        <v>1836</v>
      </c>
    </row>
    <row r="16" spans="1:5" s="82" customFormat="1">
      <c r="A16" s="108" t="s">
        <v>314</v>
      </c>
      <c r="B16" s="185"/>
      <c r="C16" s="185"/>
      <c r="D16" s="185">
        <v>50</v>
      </c>
    </row>
    <row r="17" spans="1:4" s="82" customFormat="1">
      <c r="A17" s="108" t="s">
        <v>315</v>
      </c>
      <c r="B17" s="185"/>
      <c r="C17" s="185"/>
      <c r="D17" s="185">
        <v>50</v>
      </c>
    </row>
    <row r="18" spans="1:4" s="82" customFormat="1">
      <c r="A18" s="108" t="s">
        <v>345</v>
      </c>
      <c r="B18" s="185">
        <f>0.15*'emissionsfaktorer variabla'!$C$10</f>
        <v>6.4886491195272971</v>
      </c>
      <c r="C18" s="185">
        <f>0.15*'emissionsfaktorer variabla'!$C$10</f>
        <v>6.4886491195272971</v>
      </c>
      <c r="D18" s="185">
        <f>0.15*'emissionsfaktorer variabla'!$C$10</f>
        <v>6.4886491195272971</v>
      </c>
    </row>
    <row r="19" spans="1:4" s="82" customFormat="1">
      <c r="A19" s="108" t="s">
        <v>346</v>
      </c>
      <c r="B19" s="185">
        <f>(70/'Emissionsfaktorer bränslen'!$B$8)*'Emissionsfaktorer bränslen'!$B$15</f>
        <v>9.8637021772449813</v>
      </c>
      <c r="C19" s="185">
        <f>(70/'Emissionsfaktorer bränslen'!$B$8)*'Emissionsfaktorer bränslen'!$B$15</f>
        <v>9.8637021772449813</v>
      </c>
      <c r="D19" s="185">
        <f>(70/'Emissionsfaktorer bränslen'!$B$8)*'Emissionsfaktorer bränslen'!$B$15</f>
        <v>9.8637021772449813</v>
      </c>
    </row>
    <row r="20" spans="1:4" s="70" customFormat="1">
      <c r="A20" s="68" t="s">
        <v>330</v>
      </c>
      <c r="B20" s="185">
        <f>((((B12*B16)+(B13*B17))*'Emissionsfaktorer bränslen'!$E$8)+(B14*B18)+(B15*B19))/1000</f>
        <v>165.53025978335185</v>
      </c>
      <c r="C20" s="185">
        <f>((((C12*C16)+(C13*C17))*'Emissionsfaktorer bränslen'!$E$8)+(C14*C18)+(C15*C19))/1000</f>
        <v>0</v>
      </c>
      <c r="D20" s="86"/>
    </row>
    <row r="21" spans="1:4" s="71" customFormat="1">
      <c r="A21" s="68" t="s">
        <v>331</v>
      </c>
      <c r="B21" s="86">
        <f>B20/B8</f>
        <v>55.176753261117284</v>
      </c>
      <c r="C21" s="185">
        <f t="shared" ref="C21" si="1">C20/C8</f>
        <v>0</v>
      </c>
      <c r="D21" s="185">
        <f>((((D12*D16)+(D13*D17))*'Emissionsfaktorer bränslen'!$E$8)+(D14*D18)+(D15*D19))/1000</f>
        <v>39.288707923558881</v>
      </c>
    </row>
    <row r="22" spans="1:4" s="71" customFormat="1">
      <c r="A22" s="68" t="s">
        <v>323</v>
      </c>
      <c r="B22" s="86">
        <f>'data från trafikkontoret'!D59*2</f>
        <v>5216.2499283584648</v>
      </c>
      <c r="C22" s="86">
        <f>'data från trafikkontoret'!D55*2</f>
        <v>7958.8531349597679</v>
      </c>
      <c r="D22" s="86">
        <f>kollektivtrafik!B25*2</f>
        <v>2599.0301459529742</v>
      </c>
    </row>
    <row r="23" spans="1:4" s="71" customFormat="1">
      <c r="A23" s="68" t="s">
        <v>324</v>
      </c>
      <c r="B23" s="86">
        <f>B22*kollektivtrafik!$J$18</f>
        <v>12.94248941062018</v>
      </c>
      <c r="C23" s="185">
        <f>C22*kollektivtrafik!$J$18</f>
        <v>19.747399728661787</v>
      </c>
      <c r="D23" s="185">
        <f>D22*kollektivtrafik!$J$18</f>
        <v>6.4486787642218522</v>
      </c>
    </row>
    <row r="24" spans="1:4" s="71" customFormat="1">
      <c r="A24" s="68" t="s">
        <v>325</v>
      </c>
      <c r="B24" s="86">
        <f>'Flyg BAU'!B8</f>
        <v>5159.5768205374443</v>
      </c>
      <c r="C24" s="185">
        <f>'Flyg BAU'!C8</f>
        <v>1151.6912545842511</v>
      </c>
      <c r="D24" s="185">
        <f>'Flyg BAU'!D8</f>
        <v>2303.3825091685021</v>
      </c>
    </row>
    <row r="25" spans="1:4" s="71" customFormat="1">
      <c r="A25" s="68" t="s">
        <v>12</v>
      </c>
      <c r="B25" s="185" t="s">
        <v>179</v>
      </c>
      <c r="C25" s="185" t="s">
        <v>179</v>
      </c>
      <c r="D25" s="185" t="s">
        <v>182</v>
      </c>
    </row>
    <row r="26" spans="1:4" s="71" customFormat="1">
      <c r="A26" s="68" t="s">
        <v>326</v>
      </c>
      <c r="B26" s="185">
        <f>'Typhushåll 2010'!B24*(0.991)^40</f>
        <v>81.495202111126531</v>
      </c>
      <c r="C26" s="185">
        <f>'Typhushåll 2010'!C24*(0.991)^40</f>
        <v>99.605247024710195</v>
      </c>
      <c r="D26" s="185">
        <f>'Typhushåll 2010'!D24*(0.991)^40</f>
        <v>95.983238041993474</v>
      </c>
    </row>
    <row r="27" spans="1:4" s="71" customFormat="1">
      <c r="A27" s="68" t="s">
        <v>327</v>
      </c>
      <c r="B27" s="185">
        <f>'Typhushåll 2010'!B25*'elanvändning BAU'!$S$13</f>
        <v>4659.1274574351473</v>
      </c>
      <c r="C27" s="185">
        <f>'Typhushåll 2010'!C25*'elanvändning BAU'!$S$13</f>
        <v>4172.1850994652177</v>
      </c>
      <c r="D27" s="185">
        <f>'Typhushåll 2010'!D25*'elanvändning BAU'!$S$13</f>
        <v>2809.6015406353263</v>
      </c>
    </row>
    <row r="28" spans="1:4" s="68" customFormat="1">
      <c r="A28" s="68" t="s">
        <v>328</v>
      </c>
      <c r="B28" s="185">
        <f>(B26*'emissionsfaktorer variabla'!$B$4*B4)/(B8*1000)</f>
        <v>571.22979101982003</v>
      </c>
      <c r="C28" s="185">
        <f>(C26*'emissionsfaktorer variabla'!$B$4*C4)/(C8*1000)</f>
        <v>421.11825863542293</v>
      </c>
      <c r="D28" s="185">
        <f>'Typhushåll 2010'!D26*(D26/'Typhushåll 2010'!D24)*('emissionsfaktorer variabla'!C4/'emissionsfaktorer variabla'!B4)</f>
        <v>173.38549420757533</v>
      </c>
    </row>
    <row r="29" spans="1:4" s="68" customFormat="1">
      <c r="A29" s="68" t="s">
        <v>329</v>
      </c>
      <c r="B29" s="185">
        <f>(B27*'emissionsfaktorer variabla'!$C$10)/(B8*1000)</f>
        <v>67.180985054337825</v>
      </c>
      <c r="C29" s="185">
        <f>(C27*'emissionsfaktorer variabla'!$C$10)/(C8*1000)</f>
        <v>60.15965593811088</v>
      </c>
      <c r="D29" s="185">
        <f>(D27*'emissionsfaktorer variabla'!$C$10)/(D8*1000)</f>
        <v>79.958414749412043</v>
      </c>
    </row>
    <row r="30" spans="1:4" s="71" customFormat="1">
      <c r="A30" s="68" t="s">
        <v>332</v>
      </c>
      <c r="B30" s="185">
        <v>1331</v>
      </c>
      <c r="C30" s="185">
        <v>1331</v>
      </c>
      <c r="D30" s="185">
        <v>1331</v>
      </c>
    </row>
    <row r="31" spans="1:4" s="71" customFormat="1">
      <c r="A31" s="68" t="s">
        <v>333</v>
      </c>
      <c r="B31" s="185">
        <f>('Typhushåll 2010'!B29*(0.991)^20*(1.02)^20)*('emissionsfaktorer variabla'!$C$10/'emissionsfaktorer variabla'!$B$10)</f>
        <v>800.13818928332535</v>
      </c>
      <c r="C31" s="185">
        <f>('Typhushåll 2010'!C29*(1.02)^20)*('emissionsfaktorer variabla'!$C$10/'emissionsfaktorer variabla'!$B$10)</f>
        <v>538.62377766088593</v>
      </c>
      <c r="D31" s="185">
        <f>('Typhushåll 2010'!D29*(1.02)^20)*('emissionsfaktorer variabla'!$C$10/'emissionsfaktorer variabla'!$B$10)</f>
        <v>738.94456303778293</v>
      </c>
    </row>
    <row r="32" spans="1:4" s="71" customFormat="1">
      <c r="A32" s="68" t="s">
        <v>334</v>
      </c>
      <c r="B32" s="185">
        <f>'Typhushåll 2010'!B30*'offentlig konsumtion'!$D$12</f>
        <v>705.11105879090996</v>
      </c>
      <c r="C32" s="185">
        <f>'Typhushåll 2010'!C30*'offentlig konsumtion'!$D$12</f>
        <v>705.11105879090996</v>
      </c>
      <c r="D32" s="185">
        <f>'Typhushåll 2010'!D30*'offentlig konsumtion'!$D$12</f>
        <v>705.11105879090996</v>
      </c>
    </row>
    <row r="33" spans="1:6" s="68" customFormat="1">
      <c r="A33" s="68" t="s">
        <v>335</v>
      </c>
      <c r="B33" s="101">
        <f>(B21+B23+B24+B28+B29+B30+B31+B32)/1000</f>
        <v>8.7023560873575754</v>
      </c>
      <c r="C33" s="101">
        <f>(C21+C23+C24+C28+C29+C30+C31+C32)/1000</f>
        <v>4.2274514053382424</v>
      </c>
      <c r="D33" s="101">
        <f t="shared" ref="D33" si="2">(D21+D23+D24+D28+D29+D30+D31+D32)/1000</f>
        <v>5.377519426641963</v>
      </c>
    </row>
    <row r="37" spans="1:6" ht="18.75">
      <c r="A37" s="83"/>
      <c r="B37" s="201" t="s">
        <v>422</v>
      </c>
      <c r="C37" s="201" t="s">
        <v>423</v>
      </c>
      <c r="D37" s="201" t="s">
        <v>384</v>
      </c>
    </row>
    <row r="38" spans="1:6">
      <c r="A38" s="108" t="s">
        <v>185</v>
      </c>
      <c r="B38" s="199">
        <f>B32/1000</f>
        <v>0.70511105879090996</v>
      </c>
      <c r="C38" s="199">
        <f t="shared" ref="C38:D38" si="3">C32/1000</f>
        <v>0.70511105879090996</v>
      </c>
      <c r="D38" s="199">
        <f t="shared" si="3"/>
        <v>0.70511105879090996</v>
      </c>
    </row>
    <row r="39" spans="1:6">
      <c r="A39" s="108" t="s">
        <v>377</v>
      </c>
      <c r="B39" s="199">
        <f>B30/1000</f>
        <v>1.331</v>
      </c>
      <c r="C39" s="199">
        <f t="shared" ref="C39:D39" si="4">C30/1000</f>
        <v>1.331</v>
      </c>
      <c r="D39" s="199">
        <f t="shared" si="4"/>
        <v>1.331</v>
      </c>
    </row>
    <row r="40" spans="1:6">
      <c r="A40" s="108" t="s">
        <v>376</v>
      </c>
      <c r="B40" s="199">
        <f>B28/1000</f>
        <v>0.57122979101982008</v>
      </c>
      <c r="C40" s="199">
        <f t="shared" ref="C40:D40" si="5">C28/1000</f>
        <v>0.42111825863542296</v>
      </c>
      <c r="D40" s="199">
        <f t="shared" si="5"/>
        <v>0.17338549420757535</v>
      </c>
      <c r="F40" s="187"/>
    </row>
    <row r="41" spans="1:6">
      <c r="A41" s="108" t="s">
        <v>428</v>
      </c>
      <c r="B41" s="199">
        <f>B29/1000</f>
        <v>6.7180985054337825E-2</v>
      </c>
      <c r="C41" s="199">
        <f t="shared" ref="C41:D41" si="6">C29/1000</f>
        <v>6.015965593811088E-2</v>
      </c>
      <c r="D41" s="199">
        <f t="shared" si="6"/>
        <v>7.9958414749412038E-2</v>
      </c>
    </row>
    <row r="42" spans="1:6">
      <c r="A42" s="108" t="s">
        <v>375</v>
      </c>
      <c r="B42" s="199">
        <f>B23/1000</f>
        <v>1.294248941062018E-2</v>
      </c>
      <c r="C42" s="199">
        <f t="shared" ref="C42:D42" si="7">C23/1000</f>
        <v>1.9747399728661786E-2</v>
      </c>
      <c r="D42" s="199">
        <f t="shared" si="7"/>
        <v>6.4486787642218518E-3</v>
      </c>
      <c r="F42" s="73">
        <f>C45/C33</f>
        <v>0.27243157736359669</v>
      </c>
    </row>
    <row r="43" spans="1:6">
      <c r="A43" s="108" t="s">
        <v>227</v>
      </c>
      <c r="B43" s="199">
        <f>B21/1000</f>
        <v>5.5176753261117283E-2</v>
      </c>
      <c r="C43" s="199">
        <f t="shared" ref="C43:D43" si="8">C21/1000</f>
        <v>0</v>
      </c>
      <c r="D43" s="199">
        <f t="shared" si="8"/>
        <v>3.9288707923558881E-2</v>
      </c>
    </row>
    <row r="44" spans="1:6">
      <c r="A44" s="108" t="s">
        <v>221</v>
      </c>
      <c r="B44" s="199">
        <f>B31/1000</f>
        <v>0.80013818928332536</v>
      </c>
      <c r="C44" s="199">
        <f t="shared" ref="C44:D44" si="9">C31/1000</f>
        <v>0.53862377766088598</v>
      </c>
      <c r="D44" s="199">
        <f t="shared" si="9"/>
        <v>0.73894456303778289</v>
      </c>
    </row>
    <row r="45" spans="1:6">
      <c r="A45" s="108" t="s">
        <v>378</v>
      </c>
      <c r="B45" s="199">
        <f>B24/1000</f>
        <v>5.1595768205374446</v>
      </c>
      <c r="C45" s="199">
        <f t="shared" ref="C45:D45" si="10">C24/1000</f>
        <v>1.151691254584251</v>
      </c>
      <c r="D45" s="199">
        <f t="shared" si="10"/>
        <v>2.3033825091685021</v>
      </c>
    </row>
    <row r="51" spans="1:1">
      <c r="A51" s="73"/>
    </row>
    <row r="52" spans="1:1">
      <c r="A52" s="73"/>
    </row>
    <row r="53" spans="1:1">
      <c r="A53" s="73"/>
    </row>
    <row r="54" spans="1:1">
      <c r="A54" s="73"/>
    </row>
    <row r="55" spans="1:1">
      <c r="A55" s="73"/>
    </row>
    <row r="56" spans="1:1">
      <c r="A56" s="73"/>
    </row>
    <row r="57" spans="1:1">
      <c r="A57" s="73"/>
    </row>
  </sheetData>
  <pageMargins left="0.7" right="0.7" top="0.75" bottom="0.75" header="0.3" footer="0.3"/>
  <pageSetup paperSize="9" orientation="landscape"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75"/>
  <sheetViews>
    <sheetView topLeftCell="A36" zoomScaleNormal="100" workbookViewId="0">
      <pane xSplit="1" topLeftCell="B1" activePane="topRight" state="frozen"/>
      <selection pane="topRight" activeCell="A41" sqref="A41"/>
    </sheetView>
  </sheetViews>
  <sheetFormatPr defaultRowHeight="15"/>
  <cols>
    <col min="1" max="1" width="42.42578125" style="74" bestFit="1" customWidth="1"/>
    <col min="2" max="2" width="32" style="6" bestFit="1" customWidth="1"/>
    <col min="3" max="3" width="34.85546875" style="6" bestFit="1" customWidth="1"/>
    <col min="4" max="4" width="83.5703125" style="6" bestFit="1" customWidth="1"/>
    <col min="5" max="5" width="9.140625" style="73"/>
    <col min="6" max="6" width="9.5703125" style="73" bestFit="1" customWidth="1"/>
    <col min="7" max="16384" width="9.140625" style="73"/>
  </cols>
  <sheetData>
    <row r="1" spans="1:7">
      <c r="A1" s="74" t="s">
        <v>0</v>
      </c>
      <c r="B1" s="82"/>
      <c r="C1" s="82"/>
      <c r="D1" s="82"/>
      <c r="E1" s="74"/>
    </row>
    <row r="2" spans="1:7" ht="18.75">
      <c r="A2" s="72"/>
      <c r="B2" s="72" t="s">
        <v>15</v>
      </c>
      <c r="C2" s="72" t="s">
        <v>10</v>
      </c>
      <c r="D2" s="72" t="s">
        <v>9</v>
      </c>
      <c r="E2" s="74"/>
    </row>
    <row r="3" spans="1:7">
      <c r="A3" s="74" t="s">
        <v>318</v>
      </c>
      <c r="B3" s="105">
        <f>('Typhushåll 2010'!B3*(1.02^(40)))*0.7</f>
        <v>1118519.8074744183</v>
      </c>
      <c r="C3" s="105">
        <f>('Typhushåll 2010'!C3*(1.02^(40)))*0.7</f>
        <v>454029.70145856839</v>
      </c>
      <c r="D3" s="105">
        <f>('Typhushåll 2010'!D3*(1.02^(40)))*0.7</f>
        <v>343470.94746170915</v>
      </c>
      <c r="E3" s="71"/>
    </row>
    <row r="4" spans="1:7">
      <c r="A4" s="74" t="s">
        <v>319</v>
      </c>
      <c r="B4" s="105">
        <f>'Typhushåll 2010'!B4</f>
        <v>126</v>
      </c>
      <c r="C4" s="105">
        <f>'Typhushåll 2010'!C4</f>
        <v>76</v>
      </c>
      <c r="D4" s="105">
        <f>'Typhushåll 2010'!D4</f>
        <v>76</v>
      </c>
      <c r="E4" s="71"/>
    </row>
    <row r="5" spans="1:7">
      <c r="A5" s="74" t="s">
        <v>1</v>
      </c>
      <c r="B5" s="105" t="s">
        <v>4</v>
      </c>
      <c r="C5" s="105" t="s">
        <v>8</v>
      </c>
      <c r="D5" s="105" t="s">
        <v>11</v>
      </c>
      <c r="E5" s="71"/>
    </row>
    <row r="6" spans="1:7">
      <c r="A6" s="74" t="s">
        <v>320</v>
      </c>
      <c r="B6" s="105" t="s">
        <v>5</v>
      </c>
      <c r="C6" s="105" t="s">
        <v>5</v>
      </c>
      <c r="D6" s="105"/>
      <c r="E6" s="71"/>
    </row>
    <row r="7" spans="1:7">
      <c r="A7" s="74" t="s">
        <v>3</v>
      </c>
      <c r="B7" s="105" t="s">
        <v>6</v>
      </c>
      <c r="C7" s="105" t="s">
        <v>7</v>
      </c>
      <c r="D7" s="105">
        <v>1.7</v>
      </c>
      <c r="E7" s="71"/>
    </row>
    <row r="8" spans="1:7">
      <c r="A8" s="74" t="s">
        <v>184</v>
      </c>
      <c r="B8" s="105">
        <v>3</v>
      </c>
      <c r="C8" s="105">
        <v>3</v>
      </c>
      <c r="D8" s="105">
        <v>1.52</v>
      </c>
      <c r="E8" s="71"/>
    </row>
    <row r="9" spans="1:7">
      <c r="A9" s="74" t="s">
        <v>321</v>
      </c>
      <c r="B9" s="105">
        <f t="shared" ref="B9:D9" si="0">B3/B8</f>
        <v>372839.9358248061</v>
      </c>
      <c r="C9" s="105">
        <f t="shared" si="0"/>
        <v>151343.23381952281</v>
      </c>
      <c r="D9" s="105">
        <f t="shared" si="0"/>
        <v>225967.72859322969</v>
      </c>
      <c r="E9" s="71"/>
    </row>
    <row r="10" spans="1:7">
      <c r="B10" s="189"/>
      <c r="C10" s="189"/>
      <c r="D10" s="189"/>
      <c r="E10" s="71"/>
    </row>
    <row r="11" spans="1:7" s="82" customFormat="1">
      <c r="A11" s="74" t="s">
        <v>16</v>
      </c>
      <c r="B11" s="105">
        <f>'Typhushåll 2010'!B11</f>
        <v>2</v>
      </c>
      <c r="C11" s="105"/>
      <c r="D11" s="105">
        <f>'Typhushåll 2010'!D11</f>
        <v>0.57800000000000007</v>
      </c>
      <c r="E11" s="70"/>
    </row>
    <row r="12" spans="1:7" s="82" customFormat="1">
      <c r="A12" s="108" t="s">
        <v>317</v>
      </c>
      <c r="B12" s="105"/>
      <c r="C12" s="105"/>
      <c r="D12" s="105"/>
      <c r="E12" s="70"/>
    </row>
    <row r="13" spans="1:7" s="82" customFormat="1">
      <c r="A13" s="108" t="s">
        <v>322</v>
      </c>
      <c r="B13" s="105"/>
      <c r="C13" s="105"/>
      <c r="D13" s="105"/>
      <c r="E13" s="70"/>
    </row>
    <row r="14" spans="1:7" s="82" customFormat="1">
      <c r="A14" s="108" t="s">
        <v>348</v>
      </c>
      <c r="B14" s="105">
        <f>(('Typhushåll 2010'!B12+'Typhushåll 2010'!B13)*0.8)-((('Typhushåll 2010'!B12+'Typhushåll 2010'!B13)*0.8*0.2)+(('Typhushåll 2010'!B12+'Typhushåll 2010'!B13)*0.8*0.36))+('Typhushåll 2010'!B12+'Typhushåll 2010'!B13)*0.8*0.2</f>
        <v>13751.808000000001</v>
      </c>
      <c r="C14" s="105"/>
      <c r="D14" s="105">
        <f>(('Typhushåll 2010'!D12+'Typhushåll 2010'!D13)*0.8)-((('Typhushåll 2010'!D12+'Typhushåll 2010'!D13)*0.8*0.2)+('Typhushåll 2010'!D12+'Typhushåll 2010'!D13)*0.8*0.36)+('Typhushåll 2010'!D12+'Typhushåll 2010'!D13)*0.8*0.2</f>
        <v>2611.1999999999998</v>
      </c>
      <c r="E14" s="70"/>
      <c r="F14" s="70"/>
      <c r="G14" s="70"/>
    </row>
    <row r="15" spans="1:7" s="82" customFormat="1">
      <c r="A15" s="108" t="s">
        <v>349</v>
      </c>
      <c r="B15" s="105">
        <f>('Typhushåll 2010'!B12+'Typhushåll 2010'!B13)*0.8*0.36</f>
        <v>7735.3919999999998</v>
      </c>
      <c r="C15" s="105"/>
      <c r="D15" s="105">
        <f>('Typhushåll 2010'!D12+'Typhushåll 2010'!D13)*0.8*0.36</f>
        <v>1468.8</v>
      </c>
      <c r="E15" s="70"/>
      <c r="F15" s="70"/>
      <c r="G15" s="70"/>
    </row>
    <row r="16" spans="1:7" s="82" customFormat="1">
      <c r="A16" s="108" t="s">
        <v>314</v>
      </c>
      <c r="B16" s="105"/>
      <c r="C16" s="105"/>
      <c r="D16" s="105"/>
      <c r="E16" s="69"/>
      <c r="F16" s="69"/>
      <c r="G16" s="70"/>
    </row>
    <row r="17" spans="1:7" s="82" customFormat="1">
      <c r="A17" s="108" t="s">
        <v>315</v>
      </c>
      <c r="B17" s="105"/>
      <c r="C17" s="105"/>
      <c r="D17" s="105"/>
      <c r="E17" s="69"/>
      <c r="F17" s="69"/>
      <c r="G17" s="70"/>
    </row>
    <row r="18" spans="1:7" s="82" customFormat="1">
      <c r="A18" s="108" t="s">
        <v>345</v>
      </c>
      <c r="B18" s="105">
        <f>0.15*'emissionsfaktorer variabla'!$D$10</f>
        <v>6.4886491195272971</v>
      </c>
      <c r="C18" s="105">
        <f>0.15*'emissionsfaktorer variabla'!$D$10</f>
        <v>6.4886491195272971</v>
      </c>
      <c r="D18" s="105">
        <f>0.15*'emissionsfaktorer variabla'!$D$10</f>
        <v>6.4886491195272971</v>
      </c>
      <c r="E18" s="69"/>
      <c r="F18" s="69"/>
      <c r="G18" s="70"/>
    </row>
    <row r="19" spans="1:7" s="82" customFormat="1">
      <c r="A19" s="108" t="s">
        <v>346</v>
      </c>
      <c r="B19" s="105">
        <f>(70/'Emissionsfaktorer bränslen'!$B$8)*'Emissionsfaktorer bränslen'!$B$15</f>
        <v>9.8637021772449813</v>
      </c>
      <c r="C19" s="105">
        <f>(70/'Emissionsfaktorer bränslen'!$B$8)*'Emissionsfaktorer bränslen'!$B$15</f>
        <v>9.8637021772449813</v>
      </c>
      <c r="D19" s="105">
        <f>(70/'Emissionsfaktorer bränslen'!$B$8)*'Emissionsfaktorer bränslen'!$B$15</f>
        <v>9.8637021772449813</v>
      </c>
      <c r="E19" s="69"/>
      <c r="F19" s="69"/>
      <c r="G19" s="70"/>
    </row>
    <row r="20" spans="1:7" s="70" customFormat="1">
      <c r="A20" s="68" t="s">
        <v>330</v>
      </c>
      <c r="B20" s="105">
        <f>((((B12*B16)+(B13*B17))*'Emissionsfaktorer bränslen'!$E$8)+(B14*B18)+(B15*B19))/1000</f>
        <v>165.53025978335185</v>
      </c>
      <c r="C20" s="105">
        <f>((((C12*C16)+(C13*C17))*'Emissionsfaktorer bränslen'!$E$8)+(C14*C18)+(C15*C19))/1000</f>
        <v>0</v>
      </c>
      <c r="D20" s="105"/>
    </row>
    <row r="21" spans="1:7" s="71" customFormat="1">
      <c r="A21" s="68" t="s">
        <v>331</v>
      </c>
      <c r="B21" s="188">
        <f>B20/B8</f>
        <v>55.176753261117284</v>
      </c>
      <c r="C21" s="190">
        <f t="shared" ref="C21" si="1">C20/C8</f>
        <v>0</v>
      </c>
      <c r="D21" s="105">
        <f>((((D12*D16)+(D13*D17))*'Emissionsfaktorer bränslen'!$E$8)+(D14*D18)+(D15*D19))/1000</f>
        <v>31.430966338847107</v>
      </c>
    </row>
    <row r="22" spans="1:7" s="71" customFormat="1">
      <c r="A22" s="68" t="s">
        <v>323</v>
      </c>
      <c r="B22" s="105">
        <f>'Typhushåll 2010'!B20*2</f>
        <v>5216.2499283584648</v>
      </c>
      <c r="C22" s="105">
        <f>'Typhushåll 2010'!C20*2</f>
        <v>7958.8531349597679</v>
      </c>
      <c r="D22" s="105">
        <f>'Typhushåll 2010'!D20*2</f>
        <v>2599.0301459529742</v>
      </c>
    </row>
    <row r="23" spans="1:7" s="71" customFormat="1">
      <c r="A23" s="68" t="s">
        <v>324</v>
      </c>
      <c r="B23" s="188">
        <f>B22*kollektivtrafik!$J$19</f>
        <v>6.4712447053100899</v>
      </c>
      <c r="C23" s="105">
        <f>C22*kollektivtrafik!$J$19</f>
        <v>9.8736998643308933</v>
      </c>
      <c r="D23" s="105">
        <f>D22*kollektivtrafik!$J$19</f>
        <v>3.2243393821109261</v>
      </c>
    </row>
    <row r="24" spans="1:7" s="71" customFormat="1">
      <c r="A24" s="68" t="s">
        <v>325</v>
      </c>
      <c r="B24" s="188">
        <f>'Typhushåll 2010'!B22*(0.985)^40*0.8</f>
        <v>1052.8234591208245</v>
      </c>
      <c r="C24" s="188">
        <f>'Typhushåll 2010'!C22*(0.985)^40*0.8</f>
        <v>235.00523641089831</v>
      </c>
      <c r="D24" s="188">
        <f>'Typhushåll 2010'!D22*(0.985)^40*0.8</f>
        <v>470.01047282179661</v>
      </c>
    </row>
    <row r="25" spans="1:7" s="71" customFormat="1">
      <c r="A25" s="68" t="s">
        <v>12</v>
      </c>
      <c r="B25" s="105" t="s">
        <v>179</v>
      </c>
      <c r="C25" s="105" t="s">
        <v>179</v>
      </c>
      <c r="D25" s="105" t="s">
        <v>182</v>
      </c>
    </row>
    <row r="26" spans="1:7" s="71" customFormat="1">
      <c r="A26" s="68" t="s">
        <v>326</v>
      </c>
      <c r="B26" s="105">
        <f>'Typhushåll 2010'!B24/2</f>
        <v>58.5</v>
      </c>
      <c r="C26" s="105">
        <f>'Typhushåll 2010'!C24/2</f>
        <v>71.5</v>
      </c>
      <c r="D26" s="105">
        <f>'Typhushåll 2010'!D24/2</f>
        <v>68.900000000000006</v>
      </c>
    </row>
    <row r="27" spans="1:7" s="71" customFormat="1">
      <c r="A27" s="68" t="s">
        <v>327</v>
      </c>
      <c r="B27" s="105">
        <f>'Typhushåll 2010'!B25/2</f>
        <v>2071.5</v>
      </c>
      <c r="C27" s="105">
        <f>'Typhushåll 2010'!C25/2</f>
        <v>1855</v>
      </c>
      <c r="D27" s="105">
        <f>'Typhushåll 2010'!D25/2</f>
        <v>1249.1801618644795</v>
      </c>
    </row>
    <row r="28" spans="1:7" s="68" customFormat="1">
      <c r="A28" s="68" t="s">
        <v>328</v>
      </c>
      <c r="B28" s="105">
        <f>(B26*'emissionsfaktorer variabla'!$D$4*B4)/(B8*1000)</f>
        <v>2.4569999999999999</v>
      </c>
      <c r="C28" s="105">
        <f>(C26*'emissionsfaktorer variabla'!$D$4*C4)/(C8*1000)</f>
        <v>1.8113333333333332</v>
      </c>
      <c r="D28" s="105">
        <f>'Typhushåll 2010'!D26*(D26/'Typhushåll 2010'!D24)*('emissionsfaktorer variabla'!D4/'emissionsfaktorer variabla'!B4)</f>
        <v>1.8576409789812438</v>
      </c>
    </row>
    <row r="29" spans="1:7" s="68" customFormat="1">
      <c r="A29" s="68" t="s">
        <v>329</v>
      </c>
      <c r="B29" s="105">
        <f>(B27*'emissionsfaktorer variabla'!$D$10)/(B8*1000)</f>
        <v>29.869414780223991</v>
      </c>
      <c r="C29" s="105">
        <f>(C27*'emissionsfaktorer variabla'!$D$10)/(C8*1000)</f>
        <v>26.747653592718081</v>
      </c>
      <c r="D29" s="105">
        <f>(D27*'emissionsfaktorer variabla'!$D$10)/(D8*1000)</f>
        <v>35.550402444793512</v>
      </c>
    </row>
    <row r="30" spans="1:7" s="71" customFormat="1">
      <c r="A30" s="68" t="s">
        <v>332</v>
      </c>
      <c r="B30" s="276">
        <v>507</v>
      </c>
      <c r="C30" s="276">
        <v>507</v>
      </c>
      <c r="D30" s="276">
        <v>507</v>
      </c>
    </row>
    <row r="31" spans="1:7" s="71" customFormat="1">
      <c r="A31" s="68" t="s">
        <v>333</v>
      </c>
      <c r="B31" s="105">
        <f>'Övrig konsumtion KLIMAT'!S63*(1.014439)^40*(0.991)^40*('emissionsfaktorer variabla'!$D$10/'emissionsfaktorer variabla'!$B$10)</f>
        <v>690.04258099082585</v>
      </c>
      <c r="C31" s="105">
        <f>'Övrig konsumtion KLIMAT'!T63*(1.014439)^40*(0.991)^40*('emissionsfaktorer variabla'!$D$10/'emissionsfaktorer variabla'!$B$10)</f>
        <v>404.54935271149304</v>
      </c>
      <c r="D31" s="105">
        <f>'Övrig konsumtion KLIMAT'!U63*(1.014439)^40*(0.991)^40*('emissionsfaktorer variabla'!$D$10/'emissionsfaktorer variabla'!$B$10)</f>
        <v>547.35283601897368</v>
      </c>
    </row>
    <row r="32" spans="1:7" s="71" customFormat="1">
      <c r="A32" s="68" t="s">
        <v>334</v>
      </c>
      <c r="B32" s="105">
        <f>'Typhushåll 2010'!B30*'offentlig konsumtion'!$D$13</f>
        <v>250.48074124484137</v>
      </c>
      <c r="C32" s="105">
        <f>'Typhushåll 2010'!C30*'offentlig konsumtion'!$D$13</f>
        <v>250.48074124484137</v>
      </c>
      <c r="D32" s="105">
        <f>'Typhushåll 2010'!D30*'offentlig konsumtion'!$D$13</f>
        <v>250.48074124484137</v>
      </c>
    </row>
    <row r="33" spans="1:6" s="68" customFormat="1">
      <c r="A33" s="68" t="s">
        <v>335</v>
      </c>
      <c r="B33" s="202">
        <f>(B21+B23+B24+B28+B29+B30+B31+B32)/1000</f>
        <v>2.5943211941031428</v>
      </c>
      <c r="C33" s="202">
        <f>(C21+C23+C24+C28+C29+C30+C31+C32)/1000</f>
        <v>1.4354680171576149</v>
      </c>
      <c r="D33" s="202">
        <f>(D21+D23+D24+D28+D29+D30+D31+D32)/1000</f>
        <v>1.8469073992303444</v>
      </c>
    </row>
    <row r="34" spans="1:6">
      <c r="B34" s="95"/>
      <c r="C34" s="95"/>
      <c r="D34" s="95"/>
      <c r="E34" s="71"/>
    </row>
    <row r="35" spans="1:6">
      <c r="B35" s="95"/>
      <c r="C35" s="95"/>
      <c r="D35" s="95"/>
      <c r="E35" s="71"/>
    </row>
    <row r="37" spans="1:6" ht="18.75">
      <c r="A37" s="83"/>
      <c r="B37" s="201" t="s">
        <v>422</v>
      </c>
      <c r="C37" s="201" t="s">
        <v>423</v>
      </c>
      <c r="D37" s="201" t="s">
        <v>384</v>
      </c>
      <c r="F37" s="73" t="s">
        <v>387</v>
      </c>
    </row>
    <row r="38" spans="1:6">
      <c r="A38" s="108" t="s">
        <v>185</v>
      </c>
      <c r="B38" s="187">
        <f>(B32/1000)</f>
        <v>0.25048074124484138</v>
      </c>
      <c r="C38" s="187">
        <f t="shared" ref="C38" si="2">(C32/1000)</f>
        <v>0.25048074124484138</v>
      </c>
      <c r="D38" s="187">
        <f>(D32/1000)</f>
        <v>0.25048074124484138</v>
      </c>
      <c r="E38" s="196"/>
      <c r="F38" s="235">
        <v>0.35404174826390017</v>
      </c>
    </row>
    <row r="39" spans="1:6">
      <c r="A39" s="108" t="s">
        <v>377</v>
      </c>
      <c r="B39" s="187">
        <f>(B30/1000)</f>
        <v>0.50700000000000001</v>
      </c>
      <c r="C39" s="187">
        <f t="shared" ref="C39" si="3">(C30/1000)</f>
        <v>0.50700000000000001</v>
      </c>
      <c r="D39" s="187">
        <f>(D30/1000)</f>
        <v>0.50700000000000001</v>
      </c>
      <c r="E39" s="196"/>
      <c r="F39" s="235">
        <v>0.44600000000000001</v>
      </c>
    </row>
    <row r="40" spans="1:6">
      <c r="A40" s="108" t="s">
        <v>376</v>
      </c>
      <c r="B40" s="187">
        <f>(B28/1000)</f>
        <v>2.457E-3</v>
      </c>
      <c r="C40" s="187">
        <f t="shared" ref="C40" si="4">(C28/1000)</f>
        <v>1.8113333333333332E-3</v>
      </c>
      <c r="D40" s="187">
        <f>(D28/1000)</f>
        <v>1.8576409789812438E-3</v>
      </c>
      <c r="E40" s="196"/>
      <c r="F40" s="235">
        <v>1.8576409789812438E-3</v>
      </c>
    </row>
    <row r="41" spans="1:6">
      <c r="A41" s="108" t="s">
        <v>428</v>
      </c>
      <c r="B41" s="187">
        <f>(B29/1000)</f>
        <v>2.986941478022399E-2</v>
      </c>
      <c r="C41" s="187">
        <f t="shared" ref="C41" si="5">(C29/1000)</f>
        <v>2.6747653592718079E-2</v>
      </c>
      <c r="D41" s="187">
        <f>(D29/1000)</f>
        <v>3.5550402444793509E-2</v>
      </c>
      <c r="E41" s="196"/>
      <c r="F41" s="235">
        <v>3.5550402444793509E-2</v>
      </c>
    </row>
    <row r="42" spans="1:6">
      <c r="A42" s="108" t="s">
        <v>375</v>
      </c>
      <c r="B42" s="187">
        <f>(B23/1000)</f>
        <v>6.47124470531009E-3</v>
      </c>
      <c r="C42" s="187">
        <f t="shared" ref="C42" si="6">(C23/1000)</f>
        <v>9.873699864330893E-3</v>
      </c>
      <c r="D42" s="187">
        <f>(D23/1000)</f>
        <v>3.2243393821109259E-3</v>
      </c>
      <c r="E42" s="196"/>
      <c r="F42" s="235">
        <v>3.2243393821109259E-3</v>
      </c>
    </row>
    <row r="43" spans="1:6">
      <c r="A43" s="108" t="s">
        <v>227</v>
      </c>
      <c r="B43" s="187">
        <f>(B21/1000)</f>
        <v>5.5176753261117283E-2</v>
      </c>
      <c r="C43" s="187">
        <f t="shared" ref="C43" si="7">(C21/1000)</f>
        <v>0</v>
      </c>
      <c r="D43" s="187">
        <f>(D21/1000)</f>
        <v>3.1430966338847108E-2</v>
      </c>
      <c r="E43" s="196"/>
      <c r="F43" s="235">
        <v>3.1430966338847108E-2</v>
      </c>
    </row>
    <row r="44" spans="1:6">
      <c r="A44" s="108" t="s">
        <v>221</v>
      </c>
      <c r="B44" s="187">
        <f>(B31/1000)</f>
        <v>0.69004258099082583</v>
      </c>
      <c r="C44" s="187">
        <f t="shared" ref="C44" si="8">(C31/1000)</f>
        <v>0.40454935271149306</v>
      </c>
      <c r="D44" s="187">
        <f>(D31/1000)</f>
        <v>0.54735283601897367</v>
      </c>
      <c r="E44" s="196"/>
      <c r="F44" s="235">
        <v>0.681140576473652</v>
      </c>
    </row>
    <row r="45" spans="1:6">
      <c r="A45" s="108" t="s">
        <v>378</v>
      </c>
      <c r="B45" s="187">
        <f>(B24/1000)</f>
        <v>1.0528234591208245</v>
      </c>
      <c r="C45" s="187">
        <f t="shared" ref="C45" si="9">(C24/1000)</f>
        <v>0.23500523641089829</v>
      </c>
      <c r="D45" s="187">
        <f>(D24/1000)</f>
        <v>0.47001047282179659</v>
      </c>
      <c r="E45" s="196"/>
      <c r="F45" s="235">
        <v>0.5875130910272458</v>
      </c>
    </row>
    <row r="46" spans="1:6" s="107" customFormat="1">
      <c r="A46" s="108"/>
      <c r="B46" s="196">
        <f>SUM(B45,B44,B39)/B33</f>
        <v>0.86722725205559192</v>
      </c>
      <c r="C46" s="196">
        <f t="shared" ref="C46:D46" si="10">SUM(C45,C44,C39)/C33</f>
        <v>0.79873224301625056</v>
      </c>
      <c r="D46" s="196">
        <f t="shared" si="10"/>
        <v>0.82535990135510495</v>
      </c>
      <c r="F46" s="186">
        <f>SUM(F38:F45)</f>
        <v>2.1407587649095308</v>
      </c>
    </row>
    <row r="47" spans="1:6" s="107" customFormat="1">
      <c r="A47" s="108"/>
      <c r="B47" s="196"/>
      <c r="C47" s="196"/>
      <c r="D47" s="196"/>
    </row>
    <row r="48" spans="1:6" s="107" customFormat="1">
      <c r="A48" s="108"/>
      <c r="B48" s="196"/>
      <c r="C48" s="196"/>
      <c r="D48" s="196"/>
    </row>
    <row r="49" spans="1:4" s="107" customFormat="1">
      <c r="A49" s="108"/>
      <c r="B49" s="196"/>
      <c r="C49" s="196"/>
      <c r="D49" s="196"/>
    </row>
    <row r="50" spans="1:4" s="107" customFormat="1">
      <c r="A50" s="108"/>
      <c r="B50" s="196"/>
      <c r="C50" s="196"/>
      <c r="D50" s="196"/>
    </row>
    <row r="51" spans="1:4" s="107" customFormat="1">
      <c r="A51" s="108"/>
      <c r="B51" s="196"/>
      <c r="C51" s="196"/>
      <c r="D51" s="196"/>
    </row>
    <row r="52" spans="1:4" s="107" customFormat="1">
      <c r="A52" s="108"/>
      <c r="B52" s="196"/>
      <c r="C52" s="196"/>
      <c r="D52" s="196"/>
    </row>
    <row r="53" spans="1:4" s="107" customFormat="1">
      <c r="A53" s="108"/>
      <c r="B53" s="196"/>
      <c r="C53" s="196"/>
      <c r="D53" s="196"/>
    </row>
    <row r="54" spans="1:4" s="107" customFormat="1">
      <c r="A54" s="108"/>
      <c r="B54" s="196"/>
      <c r="C54" s="196"/>
      <c r="D54" s="196"/>
    </row>
    <row r="55" spans="1:4" s="107" customFormat="1">
      <c r="A55" s="108"/>
      <c r="B55" s="196"/>
      <c r="C55" s="196"/>
      <c r="D55" s="196"/>
    </row>
    <row r="56" spans="1:4" s="107" customFormat="1">
      <c r="A56" s="108"/>
      <c r="B56" s="196"/>
      <c r="C56" s="196"/>
      <c r="D56" s="196"/>
    </row>
    <row r="57" spans="1:4" s="107" customFormat="1">
      <c r="A57" s="108"/>
      <c r="B57" s="196"/>
      <c r="C57" s="196"/>
      <c r="D57" s="196"/>
    </row>
    <row r="58" spans="1:4" s="107" customFormat="1">
      <c r="A58" s="108"/>
      <c r="B58" s="196"/>
      <c r="C58" s="196"/>
      <c r="D58" s="196"/>
    </row>
    <row r="59" spans="1:4" s="107" customFormat="1">
      <c r="A59" s="108"/>
      <c r="B59" s="196"/>
      <c r="C59" s="196"/>
      <c r="D59" s="196"/>
    </row>
    <row r="60" spans="1:4" s="107" customFormat="1">
      <c r="A60" s="108"/>
      <c r="B60" s="196"/>
      <c r="C60" s="196"/>
      <c r="D60" s="196"/>
    </row>
    <row r="61" spans="1:4" s="107" customFormat="1">
      <c r="A61" s="108"/>
      <c r="B61" s="196"/>
      <c r="C61" s="196"/>
      <c r="D61" s="196"/>
    </row>
    <row r="62" spans="1:4" s="107" customFormat="1">
      <c r="A62" s="108"/>
      <c r="B62" s="196"/>
      <c r="C62" s="196"/>
      <c r="D62" s="196"/>
    </row>
    <row r="63" spans="1:4" s="107" customFormat="1">
      <c r="A63" s="108"/>
      <c r="B63" s="196"/>
      <c r="C63" s="196"/>
      <c r="D63" s="196"/>
    </row>
    <row r="64" spans="1:4" s="107" customFormat="1">
      <c r="A64" s="108"/>
      <c r="B64" s="196"/>
      <c r="C64" s="196"/>
      <c r="D64" s="196"/>
    </row>
    <row r="65" spans="1:4" s="107" customFormat="1">
      <c r="A65" s="108"/>
      <c r="B65" s="196"/>
      <c r="C65" s="196"/>
      <c r="D65" s="196"/>
    </row>
    <row r="66" spans="1:4" s="107" customFormat="1">
      <c r="A66" s="108"/>
      <c r="B66" s="196"/>
      <c r="C66" s="196"/>
      <c r="D66" s="196"/>
    </row>
    <row r="67" spans="1:4" s="107" customFormat="1">
      <c r="A67" s="108"/>
      <c r="B67" s="196"/>
      <c r="C67" s="196"/>
      <c r="D67" s="196"/>
    </row>
    <row r="68" spans="1:4" s="107" customFormat="1">
      <c r="A68" s="108"/>
      <c r="B68" s="196"/>
      <c r="C68" s="196"/>
      <c r="D68" s="196"/>
    </row>
    <row r="69" spans="1:4" s="107" customFormat="1">
      <c r="A69" s="108"/>
      <c r="B69" s="196"/>
      <c r="C69" s="196"/>
      <c r="D69" s="196"/>
    </row>
    <row r="70" spans="1:4" s="107" customFormat="1">
      <c r="A70" s="108"/>
      <c r="B70" s="196">
        <f>40*(1-0.0067)^40</f>
        <v>30.568730997716873</v>
      </c>
      <c r="C70" s="196"/>
      <c r="D70" s="196"/>
    </row>
    <row r="71" spans="1:4" s="107" customFormat="1">
      <c r="A71" s="108"/>
      <c r="B71" s="196">
        <f>2-(0.67*0.83)</f>
        <v>1.4439</v>
      </c>
      <c r="C71" s="196"/>
      <c r="D71" s="196"/>
    </row>
    <row r="72" spans="1:4" s="107" customFormat="1">
      <c r="A72" s="108"/>
      <c r="B72" s="196"/>
      <c r="C72" s="196"/>
      <c r="D72" s="196"/>
    </row>
    <row r="73" spans="1:4">
      <c r="A73" s="108"/>
    </row>
    <row r="74" spans="1:4">
      <c r="A74" s="108"/>
    </row>
    <row r="75" spans="1:4">
      <c r="A75" s="108"/>
    </row>
  </sheetData>
  <pageMargins left="0.7" right="0.7" top="0.75" bottom="0.75" header="0.3" footer="0.3"/>
  <pageSetup paperSize="9" orientation="landscape"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10"/>
  <sheetViews>
    <sheetView tabSelected="1" workbookViewId="0">
      <selection activeCell="D28" sqref="D28"/>
    </sheetView>
  </sheetViews>
  <sheetFormatPr defaultRowHeight="15"/>
  <cols>
    <col min="1" max="1" width="20.28515625" bestFit="1" customWidth="1"/>
    <col min="2" max="2" width="23.5703125" bestFit="1" customWidth="1"/>
    <col min="3" max="3" width="23.28515625" bestFit="1" customWidth="1"/>
    <col min="4" max="4" width="22.5703125" bestFit="1" customWidth="1"/>
    <col min="5" max="5" width="26.28515625" bestFit="1" customWidth="1"/>
  </cols>
  <sheetData>
    <row r="2" spans="1:5">
      <c r="A2" s="83"/>
      <c r="B2">
        <v>2010</v>
      </c>
      <c r="C2" t="s">
        <v>429</v>
      </c>
      <c r="D2" s="107" t="s">
        <v>430</v>
      </c>
      <c r="E2" s="107" t="s">
        <v>431</v>
      </c>
    </row>
    <row r="3" spans="1:5">
      <c r="A3" s="108" t="s">
        <v>185</v>
      </c>
      <c r="B3">
        <f>'Typhushåll 2010'!D36</f>
        <v>1.74</v>
      </c>
      <c r="C3">
        <f>'BAU 2050'!$D36</f>
        <v>1.74</v>
      </c>
      <c r="D3">
        <f>'DKI 2050'!D38</f>
        <v>0.70511105879090996</v>
      </c>
      <c r="E3" s="186">
        <f>'KLIMAT 2050'!D38</f>
        <v>0.25048074124484138</v>
      </c>
    </row>
    <row r="4" spans="1:5">
      <c r="A4" s="108" t="s">
        <v>377</v>
      </c>
      <c r="B4" s="107">
        <f>'Typhushåll 2010'!D37</f>
        <v>1.494</v>
      </c>
      <c r="C4" s="107">
        <f>'BAU 2050'!$D37</f>
        <v>1.901</v>
      </c>
      <c r="D4" s="107">
        <f>'DKI 2050'!D39</f>
        <v>1.331</v>
      </c>
      <c r="E4" s="186">
        <f>'KLIMAT 2050'!D39</f>
        <v>0.50700000000000001</v>
      </c>
    </row>
    <row r="5" spans="1:5">
      <c r="A5" s="108" t="s">
        <v>376</v>
      </c>
      <c r="B5" s="107">
        <f>'Typhushåll 2010'!D38</f>
        <v>0.34180594013254889</v>
      </c>
      <c r="C5" s="107">
        <f>'BAU 2050'!$D38</f>
        <v>0.62004226759283776</v>
      </c>
      <c r="D5" s="107">
        <f>'DKI 2050'!D40</f>
        <v>0.17338549420757535</v>
      </c>
      <c r="E5" s="186">
        <f>'KLIMAT 2050'!D40</f>
        <v>1.8576409789812438E-3</v>
      </c>
    </row>
    <row r="6" spans="1:5">
      <c r="A6" s="108" t="s">
        <v>428</v>
      </c>
      <c r="B6" s="107">
        <f>'Typhushåll 2010'!D39</f>
        <v>0.20710092157226895</v>
      </c>
      <c r="C6" s="107">
        <f>'BAU 2050'!$D39</f>
        <v>0.25767484609965963</v>
      </c>
      <c r="D6" s="107">
        <f>'DKI 2050'!D41</f>
        <v>7.9958414749412038E-2</v>
      </c>
      <c r="E6" s="186">
        <f>'KLIMAT 2050'!D41</f>
        <v>3.5550402444793509E-2</v>
      </c>
    </row>
    <row r="7" spans="1:5">
      <c r="A7" s="108" t="s">
        <v>375</v>
      </c>
      <c r="B7" s="107">
        <f>'Typhushåll 2010'!D40</f>
        <v>3.2243393821109259E-2</v>
      </c>
      <c r="C7" s="107">
        <f>'BAU 2050'!$D40</f>
        <v>2.7467193354758276E-2</v>
      </c>
      <c r="D7" s="107">
        <f>'DKI 2050'!D42</f>
        <v>6.4486787642218518E-3</v>
      </c>
      <c r="E7" s="186">
        <f>'KLIMAT 2050'!D42</f>
        <v>3.2243393821109259E-3</v>
      </c>
    </row>
    <row r="8" spans="1:5">
      <c r="A8" s="108" t="s">
        <v>227</v>
      </c>
      <c r="B8" s="107">
        <f>'Typhushåll 2010'!D41</f>
        <v>1.0195370156700798</v>
      </c>
      <c r="C8" s="107">
        <f>'BAU 2050'!$D41</f>
        <v>1.0534381078332515</v>
      </c>
      <c r="D8" s="107">
        <f>'DKI 2050'!D43</f>
        <v>3.9288707923558881E-2</v>
      </c>
      <c r="E8" s="186">
        <f>'KLIMAT 2050'!D43</f>
        <v>3.1430966338847108E-2</v>
      </c>
    </row>
    <row r="9" spans="1:5">
      <c r="A9" s="108" t="s">
        <v>221</v>
      </c>
      <c r="B9" s="107">
        <f>'Typhushåll 2010'!D42</f>
        <v>1.4427434716591943</v>
      </c>
      <c r="C9" s="107">
        <f>'BAU 2050'!$D42</f>
        <v>2.2189226724833286</v>
      </c>
      <c r="D9" s="107">
        <f>'DKI 2050'!D44</f>
        <v>0.73894456303778289</v>
      </c>
      <c r="E9" s="186">
        <f>'KLIMAT 2050'!D44</f>
        <v>0.54735283601897367</v>
      </c>
    </row>
    <row r="10" spans="1:5">
      <c r="A10" s="108" t="s">
        <v>378</v>
      </c>
      <c r="B10" s="107">
        <f>'Typhushåll 2010'!D43</f>
        <v>1.0753957805645113</v>
      </c>
      <c r="C10" s="107">
        <f>'BAU 2050'!$D43</f>
        <v>2.3033825091685021</v>
      </c>
      <c r="D10" s="107">
        <f>'DKI 2050'!D45</f>
        <v>2.3033825091685021</v>
      </c>
      <c r="E10" s="186">
        <f>'KLIMAT 2050'!D45</f>
        <v>0.47001047282179659</v>
      </c>
    </row>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94"/>
  <sheetViews>
    <sheetView workbookViewId="0">
      <selection activeCell="C3" sqref="C3"/>
    </sheetView>
  </sheetViews>
  <sheetFormatPr defaultColWidth="12.5703125" defaultRowHeight="15.75"/>
  <cols>
    <col min="1" max="1" width="61.85546875" style="75" customWidth="1"/>
    <col min="2" max="2" width="16.85546875" style="75" customWidth="1"/>
    <col min="3" max="3" width="25.7109375" style="75" customWidth="1"/>
    <col min="4" max="4" width="13.85546875" style="75" customWidth="1"/>
    <col min="5" max="5" width="17.85546875" style="75" bestFit="1" customWidth="1"/>
    <col min="6" max="6" width="15.42578125" style="75" bestFit="1" customWidth="1"/>
    <col min="7" max="8" width="16.5703125" style="75" bestFit="1" customWidth="1"/>
    <col min="9" max="10" width="15.42578125" style="75" bestFit="1" customWidth="1"/>
    <col min="11" max="11" width="14.28515625" style="75" bestFit="1" customWidth="1"/>
    <col min="12" max="16384" width="12.5703125" style="75"/>
  </cols>
  <sheetData>
    <row r="1" spans="1:8">
      <c r="A1" s="227">
        <v>2006</v>
      </c>
    </row>
    <row r="2" spans="1:8" s="209" customFormat="1">
      <c r="A2" s="209" t="s">
        <v>395</v>
      </c>
      <c r="B2" s="210">
        <f>640000000</f>
        <v>640000000</v>
      </c>
      <c r="C2" s="209" t="s">
        <v>408</v>
      </c>
    </row>
    <row r="3" spans="1:8" s="209" customFormat="1">
      <c r="A3" s="209" t="s">
        <v>407</v>
      </c>
      <c r="B3" s="224">
        <f>7300000000/1.8</f>
        <v>4055555555.5555553</v>
      </c>
      <c r="C3" s="209" t="s">
        <v>414</v>
      </c>
    </row>
    <row r="4" spans="1:8" s="209" customFormat="1">
      <c r="A4" s="209" t="s">
        <v>409</v>
      </c>
      <c r="B4" s="224">
        <f>SUM(B2:B3)</f>
        <v>4695555555.5555553</v>
      </c>
    </row>
    <row r="5" spans="1:8" s="209" customFormat="1">
      <c r="A5" s="209" t="s">
        <v>410</v>
      </c>
      <c r="B5" s="210">
        <f>B4*1.7</f>
        <v>7982444444.4444437</v>
      </c>
      <c r="C5" s="217" t="s">
        <v>411</v>
      </c>
    </row>
    <row r="6" spans="1:8" s="209" customFormat="1">
      <c r="A6" s="209" t="s">
        <v>401</v>
      </c>
      <c r="B6" s="210">
        <f>B5+(B4*0.11)</f>
        <v>8498955555.5555544</v>
      </c>
      <c r="C6" s="209" t="s">
        <v>397</v>
      </c>
    </row>
    <row r="7" spans="1:8" s="209" customFormat="1">
      <c r="A7" s="209" t="s">
        <v>399</v>
      </c>
      <c r="B7" s="210">
        <v>9113257</v>
      </c>
      <c r="C7" s="209" t="s">
        <v>398</v>
      </c>
    </row>
    <row r="8" spans="1:8" s="209" customFormat="1">
      <c r="A8" s="209" t="s">
        <v>400</v>
      </c>
      <c r="B8" s="210">
        <f>B6/B7</f>
        <v>932.59254683101267</v>
      </c>
    </row>
    <row r="9" spans="1:8" s="209" customFormat="1">
      <c r="A9" s="209" t="s">
        <v>396</v>
      </c>
      <c r="B9" s="211">
        <v>0.82</v>
      </c>
      <c r="C9" s="209" t="s">
        <v>277</v>
      </c>
    </row>
    <row r="10" spans="1:8" s="209" customFormat="1">
      <c r="A10" s="209" t="s">
        <v>406</v>
      </c>
      <c r="B10" s="210">
        <f>B8*B9</f>
        <v>764.72588840143032</v>
      </c>
    </row>
    <row r="12" spans="1:8" s="212" customFormat="1">
      <c r="A12" s="212" t="s">
        <v>402</v>
      </c>
      <c r="B12" s="213">
        <f>B10*1.125</f>
        <v>860.31662445160907</v>
      </c>
      <c r="C12" s="217" t="s">
        <v>415</v>
      </c>
    </row>
    <row r="13" spans="1:8" s="212" customFormat="1">
      <c r="B13" s="213"/>
    </row>
    <row r="14" spans="1:8" s="217" customFormat="1">
      <c r="A14" s="212" t="s">
        <v>412</v>
      </c>
      <c r="C14" s="212"/>
      <c r="D14" s="212"/>
      <c r="E14" s="212"/>
      <c r="F14" s="212"/>
      <c r="H14" s="212"/>
    </row>
    <row r="15" spans="1:8" s="209" customFormat="1">
      <c r="A15" s="214" t="s">
        <v>403</v>
      </c>
      <c r="B15" s="213">
        <f>B12*2.8</f>
        <v>2408.8865484645053</v>
      </c>
      <c r="C15" s="209" t="s">
        <v>405</v>
      </c>
      <c r="D15" s="210"/>
      <c r="E15" s="215"/>
      <c r="F15" s="210"/>
      <c r="G15" s="210"/>
    </row>
    <row r="16" spans="1:8" s="233" customFormat="1">
      <c r="A16" s="231" t="s">
        <v>404</v>
      </c>
      <c r="B16" s="232">
        <f>B12*1.25</f>
        <v>1075.3957805645114</v>
      </c>
      <c r="C16" s="233" t="s">
        <v>421</v>
      </c>
      <c r="E16" s="234"/>
    </row>
    <row r="17" spans="1:7" s="73" customFormat="1" ht="15">
      <c r="A17" s="82"/>
      <c r="B17" s="84"/>
      <c r="C17" s="84"/>
      <c r="D17" s="84"/>
      <c r="E17" s="84"/>
      <c r="F17" s="84"/>
      <c r="G17" s="84"/>
    </row>
    <row r="18" spans="1:7" s="108" customFormat="1" ht="15">
      <c r="A18" s="108" t="s">
        <v>413</v>
      </c>
      <c r="B18" s="216"/>
      <c r="C18" s="216"/>
      <c r="D18" s="216"/>
      <c r="E18" s="216"/>
      <c r="F18" s="216"/>
      <c r="G18" s="216"/>
    </row>
    <row r="19" spans="1:7">
      <c r="A19" s="75" t="s">
        <v>17</v>
      </c>
      <c r="B19" s="77"/>
      <c r="C19" s="77"/>
      <c r="D19" s="78"/>
      <c r="E19" s="76"/>
    </row>
    <row r="20" spans="1:7" s="229" customFormat="1">
      <c r="B20" s="230">
        <v>2006</v>
      </c>
      <c r="C20" s="85"/>
      <c r="D20" s="230">
        <v>2010</v>
      </c>
    </row>
    <row r="21" spans="1:7">
      <c r="B21" s="80" t="s">
        <v>18</v>
      </c>
    </row>
    <row r="22" spans="1:7">
      <c r="A22" s="79" t="s">
        <v>19</v>
      </c>
      <c r="B22" s="80"/>
    </row>
    <row r="23" spans="1:7">
      <c r="A23" s="75" t="s">
        <v>20</v>
      </c>
      <c r="B23" s="218">
        <v>2849.8232863393291</v>
      </c>
    </row>
    <row r="24" spans="1:7">
      <c r="A24" s="75" t="s">
        <v>21</v>
      </c>
      <c r="B24" s="218">
        <v>1892.7454412837344</v>
      </c>
    </row>
    <row r="25" spans="1:7">
      <c r="A25" s="79" t="s">
        <v>22</v>
      </c>
      <c r="B25" s="80"/>
    </row>
    <row r="26" spans="1:7">
      <c r="A26" s="75" t="s">
        <v>23</v>
      </c>
      <c r="B26" s="218">
        <v>4781.8241822429909</v>
      </c>
    </row>
    <row r="27" spans="1:7">
      <c r="A27" s="75" t="s">
        <v>24</v>
      </c>
      <c r="B27" s="218">
        <v>1459.9856115107914</v>
      </c>
    </row>
    <row r="28" spans="1:7">
      <c r="A28" s="75" t="s">
        <v>25</v>
      </c>
      <c r="B28" s="218">
        <v>2146.2627118644068</v>
      </c>
    </row>
    <row r="29" spans="1:7">
      <c r="A29" s="75" t="s">
        <v>26</v>
      </c>
      <c r="B29" s="218">
        <v>1053.5555555555557</v>
      </c>
    </row>
    <row r="30" spans="1:7">
      <c r="A30" s="75" t="s">
        <v>27</v>
      </c>
      <c r="B30" s="218">
        <v>1461.7076411960134</v>
      </c>
    </row>
    <row r="31" spans="1:7">
      <c r="A31" s="75" t="s">
        <v>28</v>
      </c>
      <c r="B31" s="218">
        <v>3556.0993788819874</v>
      </c>
    </row>
    <row r="32" spans="1:7">
      <c r="A32" s="75" t="s">
        <v>29</v>
      </c>
      <c r="B32" s="218">
        <v>195.12206572769952</v>
      </c>
    </row>
    <row r="33" spans="1:2">
      <c r="A33" s="75" t="s">
        <v>30</v>
      </c>
      <c r="B33" s="218"/>
    </row>
    <row r="34" spans="1:2">
      <c r="A34" s="75" t="s">
        <v>31</v>
      </c>
      <c r="B34" s="218">
        <v>255.60144927536231</v>
      </c>
    </row>
    <row r="35" spans="1:2">
      <c r="A35" s="75" t="s">
        <v>32</v>
      </c>
      <c r="B35" s="218">
        <v>3380.218336483932</v>
      </c>
    </row>
    <row r="36" spans="1:2">
      <c r="A36" s="75" t="s">
        <v>33</v>
      </c>
      <c r="B36" s="218">
        <v>2760.1346153846152</v>
      </c>
    </row>
    <row r="37" spans="1:2">
      <c r="A37" s="75" t="s">
        <v>34</v>
      </c>
      <c r="B37" s="218">
        <v>905.69863013698625</v>
      </c>
    </row>
    <row r="38" spans="1:2">
      <c r="A38" s="75" t="s">
        <v>35</v>
      </c>
      <c r="B38" s="218"/>
    </row>
    <row r="39" spans="1:2">
      <c r="A39" s="75" t="s">
        <v>36</v>
      </c>
      <c r="B39" s="218">
        <v>1213.1943319838056</v>
      </c>
    </row>
    <row r="40" spans="1:2">
      <c r="A40" s="75" t="s">
        <v>37</v>
      </c>
      <c r="B40" s="218">
        <v>3199.7310924369749</v>
      </c>
    </row>
    <row r="41" spans="1:2">
      <c r="A41" s="75" t="s">
        <v>38</v>
      </c>
      <c r="B41" s="218"/>
    </row>
    <row r="42" spans="1:2">
      <c r="A42" s="75" t="s">
        <v>39</v>
      </c>
      <c r="B42" s="218">
        <v>769.57539682539687</v>
      </c>
    </row>
    <row r="43" spans="1:2">
      <c r="A43" s="75" t="s">
        <v>40</v>
      </c>
      <c r="B43" s="218">
        <v>1314.4663677130045</v>
      </c>
    </row>
    <row r="44" spans="1:2">
      <c r="A44" s="75" t="s">
        <v>41</v>
      </c>
      <c r="B44" s="218">
        <v>1043.9739130434782</v>
      </c>
    </row>
    <row r="45" spans="1:2">
      <c r="A45" s="75" t="s">
        <v>42</v>
      </c>
      <c r="B45" s="218">
        <v>1606.8936170212767</v>
      </c>
    </row>
    <row r="46" spans="1:2">
      <c r="A46" s="75" t="s">
        <v>43</v>
      </c>
      <c r="B46" s="218">
        <v>5693.2746781115884</v>
      </c>
    </row>
    <row r="47" spans="1:2">
      <c r="A47" s="75" t="s">
        <v>44</v>
      </c>
      <c r="B47" s="218"/>
    </row>
    <row r="48" spans="1:2">
      <c r="A48" s="79" t="s">
        <v>45</v>
      </c>
      <c r="B48" s="218"/>
    </row>
    <row r="49" spans="1:7">
      <c r="A49" s="209" t="s">
        <v>46</v>
      </c>
      <c r="B49" s="226">
        <v>2969.4215304798963</v>
      </c>
    </row>
    <row r="50" spans="1:7">
      <c r="A50" s="209" t="s">
        <v>47</v>
      </c>
      <c r="B50" s="226">
        <v>1289.4058441558441</v>
      </c>
    </row>
    <row r="51" spans="1:7">
      <c r="A51" s="209" t="s">
        <v>48</v>
      </c>
      <c r="B51" s="226">
        <v>1407.7864025695931</v>
      </c>
    </row>
    <row r="52" spans="1:7">
      <c r="A52" s="209" t="s">
        <v>49</v>
      </c>
      <c r="B52" s="226">
        <v>6727.0214521452144</v>
      </c>
      <c r="C52" s="75" t="s">
        <v>416</v>
      </c>
      <c r="D52" s="228">
        <f>B52*1.163</f>
        <v>7823.5259488448846</v>
      </c>
    </row>
    <row r="53" spans="1:7">
      <c r="A53" s="75" t="s">
        <v>50</v>
      </c>
      <c r="B53" s="218">
        <v>1047.2902131782946</v>
      </c>
      <c r="C53" s="75" t="s">
        <v>417</v>
      </c>
      <c r="D53" s="228">
        <f>0.82*D52</f>
        <v>6415.291278052805</v>
      </c>
      <c r="E53" s="75" t="s">
        <v>419</v>
      </c>
      <c r="G53" s="75">
        <f>D53/D62</f>
        <v>2.2634964721377857</v>
      </c>
    </row>
    <row r="54" spans="1:7">
      <c r="B54" s="218"/>
    </row>
    <row r="55" spans="1:7">
      <c r="A55" s="79" t="s">
        <v>2</v>
      </c>
      <c r="B55" s="80"/>
    </row>
    <row r="56" spans="1:7">
      <c r="A56" s="75" t="s">
        <v>51</v>
      </c>
      <c r="B56" s="218">
        <v>1078.1595505617977</v>
      </c>
    </row>
    <row r="57" spans="1:7">
      <c r="A57" s="75" t="s">
        <v>52</v>
      </c>
      <c r="B57" s="218">
        <v>969.20923913043475</v>
      </c>
    </row>
    <row r="58" spans="1:7">
      <c r="A58" s="75" t="s">
        <v>53</v>
      </c>
      <c r="B58" s="218">
        <v>4448.4916593503076</v>
      </c>
    </row>
    <row r="59" spans="1:7">
      <c r="A59" s="75" t="s">
        <v>54</v>
      </c>
      <c r="B59" s="218">
        <v>3389.2270606531883</v>
      </c>
    </row>
    <row r="60" spans="1:7">
      <c r="A60" s="75" t="s">
        <v>55</v>
      </c>
      <c r="B60" s="218">
        <v>2620.205882352941</v>
      </c>
      <c r="C60" s="75" t="s">
        <v>418</v>
      </c>
      <c r="D60" s="228">
        <f>(B57+B58+B59+B60+B61)/5</f>
        <v>2971.9602106522393</v>
      </c>
    </row>
    <row r="61" spans="1:7">
      <c r="A61" s="75" t="s">
        <v>56</v>
      </c>
      <c r="B61" s="218">
        <v>3432.6672117743256</v>
      </c>
      <c r="C61" s="75" t="s">
        <v>416</v>
      </c>
      <c r="D61" s="228">
        <f>D60*1.163</f>
        <v>3456.3897249885545</v>
      </c>
    </row>
    <row r="62" spans="1:7">
      <c r="A62" s="75" t="s">
        <v>57</v>
      </c>
      <c r="B62" s="218">
        <v>795.1904161412358</v>
      </c>
      <c r="C62" s="75" t="s">
        <v>417</v>
      </c>
      <c r="D62" s="228">
        <f>0.82*D61</f>
        <v>2834.2395744906144</v>
      </c>
      <c r="E62" s="75" t="s">
        <v>420</v>
      </c>
      <c r="G62" s="75">
        <f>D62/D94</f>
        <v>1.2532817052732732</v>
      </c>
    </row>
    <row r="63" spans="1:7">
      <c r="A63" s="75" t="s">
        <v>58</v>
      </c>
      <c r="B63" s="218">
        <v>131.0912343470483</v>
      </c>
    </row>
    <row r="64" spans="1:7">
      <c r="A64" s="79" t="s">
        <v>59</v>
      </c>
      <c r="B64" s="80"/>
    </row>
    <row r="65" spans="1:2">
      <c r="A65" s="75" t="s">
        <v>60</v>
      </c>
      <c r="B65" s="218">
        <v>504.88583973655324</v>
      </c>
    </row>
    <row r="66" spans="1:2">
      <c r="A66" s="75" t="s">
        <v>61</v>
      </c>
      <c r="B66" s="218">
        <v>1478.2042160737813</v>
      </c>
    </row>
    <row r="67" spans="1:2">
      <c r="A67" s="75" t="s">
        <v>62</v>
      </c>
      <c r="B67" s="218">
        <v>1450.1775147928995</v>
      </c>
    </row>
    <row r="68" spans="1:2">
      <c r="A68" s="75" t="s">
        <v>63</v>
      </c>
      <c r="B68" s="218">
        <v>5722.2737068965516</v>
      </c>
    </row>
    <row r="69" spans="1:2">
      <c r="A69" s="75" t="s">
        <v>64</v>
      </c>
      <c r="B69" s="218">
        <v>2607.9813800657175</v>
      </c>
    </row>
    <row r="70" spans="1:2">
      <c r="A70" s="75" t="s">
        <v>65</v>
      </c>
      <c r="B70" s="218">
        <v>3488.137367130008</v>
      </c>
    </row>
    <row r="71" spans="1:2">
      <c r="A71" s="75" t="s">
        <v>66</v>
      </c>
      <c r="B71" s="218">
        <v>3043.7614011896894</v>
      </c>
    </row>
    <row r="72" spans="1:2">
      <c r="A72" s="75" t="s">
        <v>67</v>
      </c>
      <c r="B72" s="218">
        <v>521.76871756856929</v>
      </c>
    </row>
    <row r="73" spans="1:2">
      <c r="A73" s="75" t="s">
        <v>68</v>
      </c>
      <c r="B73" s="218">
        <v>582.04436860068256</v>
      </c>
    </row>
    <row r="74" spans="1:2">
      <c r="A74" s="79" t="s">
        <v>69</v>
      </c>
      <c r="B74" s="80"/>
    </row>
    <row r="75" spans="1:2">
      <c r="A75" s="75" t="s">
        <v>70</v>
      </c>
      <c r="B75" s="218">
        <v>1218.4325213956549</v>
      </c>
    </row>
    <row r="76" spans="1:2">
      <c r="A76" s="75" t="s">
        <v>71</v>
      </c>
      <c r="B76" s="218">
        <v>3367.2881540697676</v>
      </c>
    </row>
    <row r="77" spans="1:2">
      <c r="A77" s="75" t="s">
        <v>72</v>
      </c>
      <c r="B77" s="218">
        <v>1907.4918300653594</v>
      </c>
    </row>
    <row r="78" spans="1:2">
      <c r="A78" s="75" t="s">
        <v>73</v>
      </c>
      <c r="B78" s="218">
        <v>1623.2122093023256</v>
      </c>
    </row>
    <row r="79" spans="1:2">
      <c r="A79" s="75" t="s">
        <v>74</v>
      </c>
      <c r="B79" s="218">
        <v>3789.3618784530386</v>
      </c>
    </row>
    <row r="80" spans="1:2">
      <c r="A80" s="75" t="s">
        <v>75</v>
      </c>
      <c r="B80" s="218">
        <v>1909.3992673992675</v>
      </c>
    </row>
    <row r="81" spans="1:4">
      <c r="A81" s="75" t="s">
        <v>76</v>
      </c>
      <c r="B81" s="80"/>
    </row>
    <row r="82" spans="1:4">
      <c r="A82" s="79" t="s">
        <v>77</v>
      </c>
      <c r="B82" s="80"/>
    </row>
    <row r="83" spans="1:4">
      <c r="A83" s="80" t="s">
        <v>78</v>
      </c>
      <c r="B83" s="218">
        <v>3199.7037319116525</v>
      </c>
    </row>
    <row r="84" spans="1:4">
      <c r="A84" s="75" t="s">
        <v>79</v>
      </c>
      <c r="B84" s="218">
        <v>3993.7280564263324</v>
      </c>
    </row>
    <row r="85" spans="1:4">
      <c r="A85" s="75" t="s">
        <v>80</v>
      </c>
      <c r="B85" s="218">
        <v>2061.0811287477954</v>
      </c>
    </row>
    <row r="86" spans="1:4">
      <c r="A86" s="75" t="s">
        <v>81</v>
      </c>
      <c r="B86" s="218">
        <v>2286.7820738137084</v>
      </c>
    </row>
    <row r="87" spans="1:4">
      <c r="A87" s="75" t="s">
        <v>82</v>
      </c>
      <c r="B87" s="218"/>
    </row>
    <row r="88" spans="1:4">
      <c r="A88" s="75" t="s">
        <v>83</v>
      </c>
      <c r="B88" s="218">
        <v>1239.8996212121212</v>
      </c>
    </row>
    <row r="89" spans="1:4">
      <c r="A89" s="75" t="s">
        <v>84</v>
      </c>
      <c r="B89" s="218">
        <v>1241.1723834652594</v>
      </c>
    </row>
    <row r="90" spans="1:4">
      <c r="A90" s="75" t="s">
        <v>85</v>
      </c>
      <c r="B90" s="218">
        <v>3446.127659574468</v>
      </c>
    </row>
    <row r="91" spans="1:4">
      <c r="A91" s="75" t="s">
        <v>86</v>
      </c>
      <c r="B91" s="218">
        <v>267.15289256198349</v>
      </c>
    </row>
    <row r="92" spans="1:4">
      <c r="A92" s="75" t="s">
        <v>87</v>
      </c>
      <c r="B92" s="218"/>
    </row>
    <row r="93" spans="1:4">
      <c r="A93" s="78" t="s">
        <v>88</v>
      </c>
      <c r="B93" s="219">
        <v>2371.3425306916251</v>
      </c>
      <c r="C93" s="75" t="s">
        <v>416</v>
      </c>
      <c r="D93" s="228">
        <f>B93*1.163</f>
        <v>2757.8713631943601</v>
      </c>
    </row>
    <row r="94" spans="1:4">
      <c r="C94" s="75" t="s">
        <v>417</v>
      </c>
      <c r="D94" s="228">
        <f>0.82*D93</f>
        <v>2261.4545178193753</v>
      </c>
    </row>
  </sheetData>
  <pageMargins left="0.75" right="0.75" top="1" bottom="1" header="0.5" footer="0.5"/>
  <pageSetup paperSize="9" orientation="portrait" horizontalDpi="4294967292" verticalDpi="4294967292"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H34"/>
  <sheetViews>
    <sheetView workbookViewId="0">
      <selection activeCell="H20" sqref="H20"/>
    </sheetView>
  </sheetViews>
  <sheetFormatPr defaultRowHeight="15"/>
  <cols>
    <col min="1" max="1" width="27.42578125" bestFit="1" customWidth="1"/>
    <col min="2" max="2" width="25" bestFit="1" customWidth="1"/>
    <col min="3" max="3" width="26.85546875" bestFit="1" customWidth="1"/>
    <col min="4" max="4" width="20.7109375" bestFit="1" customWidth="1"/>
    <col min="7" max="7" width="28.140625" bestFit="1" customWidth="1"/>
  </cols>
  <sheetData>
    <row r="3" spans="1:8" s="220" customFormat="1">
      <c r="A3" s="221" t="s">
        <v>188</v>
      </c>
      <c r="G3" s="220" t="s">
        <v>354</v>
      </c>
      <c r="H3" s="222"/>
    </row>
    <row r="4" spans="1:8" s="220" customFormat="1" ht="15.75">
      <c r="A4" s="209"/>
      <c r="B4" s="209"/>
      <c r="C4" s="209"/>
      <c r="D4" s="209"/>
      <c r="G4" s="220" t="s">
        <v>342</v>
      </c>
      <c r="H4" s="220">
        <f>1+H5</f>
        <v>1.0549999999999999</v>
      </c>
    </row>
    <row r="5" spans="1:8" s="220" customFormat="1">
      <c r="A5" s="214" t="s">
        <v>0</v>
      </c>
      <c r="B5" s="214" t="s">
        <v>15</v>
      </c>
      <c r="C5" s="214" t="s">
        <v>10</v>
      </c>
      <c r="D5" s="214" t="s">
        <v>9</v>
      </c>
      <c r="G5" s="220" t="s">
        <v>343</v>
      </c>
      <c r="H5" s="222">
        <v>5.5E-2</v>
      </c>
    </row>
    <row r="6" spans="1:8" s="220" customFormat="1">
      <c r="A6" s="214" t="s">
        <v>278</v>
      </c>
      <c r="B6" s="223">
        <f>'Typhushåll 2010'!B22</f>
        <v>2408.8865484645053</v>
      </c>
      <c r="C6" s="223">
        <f>'Typhushåll 2010'!C22</f>
        <v>537.69789028225568</v>
      </c>
      <c r="D6" s="223">
        <f>'Typhushåll 2010'!D22</f>
        <v>1075.3957805645114</v>
      </c>
    </row>
    <row r="7" spans="1:8" s="220" customFormat="1" ht="15.75">
      <c r="A7" s="209" t="s">
        <v>279</v>
      </c>
      <c r="B7" s="210">
        <f>B6*($H$12*$H$15)^20</f>
        <v>4002.6551121593197</v>
      </c>
      <c r="C7" s="210">
        <f>C6*($H$12*$H$15)^20</f>
        <v>893.44980182127676</v>
      </c>
      <c r="D7" s="210">
        <f>D6*($H$12*$H$15)^20</f>
        <v>1786.8996036425535</v>
      </c>
    </row>
    <row r="8" spans="1:8" s="220" customFormat="1" ht="15.75">
      <c r="A8" s="209" t="s">
        <v>280</v>
      </c>
      <c r="B8" s="210">
        <f>B6*($H$12*$H$15)^30</f>
        <v>5159.5768205374443</v>
      </c>
      <c r="C8" s="210">
        <f>C6*($H$12*$H$15)^30</f>
        <v>1151.6912545842511</v>
      </c>
      <c r="D8" s="210">
        <f>D6*($H$12*$H$15)^30</f>
        <v>2303.3825091685021</v>
      </c>
      <c r="G8" s="220" t="s">
        <v>352</v>
      </c>
      <c r="H8" s="222">
        <v>0.48</v>
      </c>
    </row>
    <row r="9" spans="1:8" s="220" customFormat="1" ht="15.75">
      <c r="A9" s="209"/>
      <c r="B9" s="210"/>
      <c r="C9" s="210"/>
      <c r="D9" s="210"/>
      <c r="G9" s="220" t="s">
        <v>342</v>
      </c>
      <c r="H9" s="220">
        <f>1.48^(1/18)</f>
        <v>1.0220190341158242</v>
      </c>
    </row>
    <row r="10" spans="1:8" s="220" customFormat="1">
      <c r="A10" s="221" t="s">
        <v>382</v>
      </c>
      <c r="G10" s="220" t="s">
        <v>343</v>
      </c>
      <c r="H10" s="222">
        <f>H9-1</f>
        <v>2.2019034115824176E-2</v>
      </c>
    </row>
    <row r="11" spans="1:8" s="220" customFormat="1" ht="15.75">
      <c r="A11" s="209"/>
      <c r="B11" s="209"/>
      <c r="C11" s="209"/>
      <c r="D11" s="209"/>
      <c r="H11" s="222"/>
    </row>
    <row r="12" spans="1:8" s="220" customFormat="1">
      <c r="A12" s="214" t="s">
        <v>0</v>
      </c>
      <c r="B12" s="214" t="s">
        <v>15</v>
      </c>
      <c r="C12" s="214" t="s">
        <v>10</v>
      </c>
      <c r="D12" s="214" t="s">
        <v>9</v>
      </c>
      <c r="G12" s="220" t="s">
        <v>379</v>
      </c>
      <c r="H12" s="220">
        <f>AVERAGE(H4,H9)</f>
        <v>1.0385095170579119</v>
      </c>
    </row>
    <row r="13" spans="1:8" s="220" customFormat="1">
      <c r="A13" s="214" t="s">
        <v>278</v>
      </c>
      <c r="B13" s="223">
        <f>B6</f>
        <v>2408.8865484645053</v>
      </c>
      <c r="C13" s="223">
        <f t="shared" ref="C13:D13" si="0">C6</f>
        <v>537.69789028225568</v>
      </c>
      <c r="D13" s="223">
        <f t="shared" si="0"/>
        <v>1075.3957805645114</v>
      </c>
    </row>
    <row r="14" spans="1:8" s="220" customFormat="1" ht="15.75">
      <c r="A14" s="209" t="s">
        <v>279</v>
      </c>
      <c r="B14" s="210">
        <f>B13*($H$12*$H$15)^20</f>
        <v>4002.6551121593197</v>
      </c>
      <c r="C14" s="210">
        <f>C13*($H$12*$H$15)^20</f>
        <v>893.44980182127676</v>
      </c>
      <c r="D14" s="210">
        <f>D13*($H$12*$H$15)^20</f>
        <v>1786.8996036425535</v>
      </c>
      <c r="G14" s="220" t="s">
        <v>353</v>
      </c>
      <c r="H14" s="222">
        <v>0.2</v>
      </c>
    </row>
    <row r="15" spans="1:8" s="220" customFormat="1" ht="15.75">
      <c r="A15" s="209" t="s">
        <v>280</v>
      </c>
      <c r="B15" s="210">
        <f>B13*($H$12*$H$15)^30</f>
        <v>5159.5768205374443</v>
      </c>
      <c r="C15" s="210">
        <f>C13*($H$12*$H$15)^30</f>
        <v>1151.6912545842511</v>
      </c>
      <c r="D15" s="210">
        <f>D13*($H$12*$H$15)^30</f>
        <v>2303.3825091685021</v>
      </c>
      <c r="G15" s="220" t="s">
        <v>350</v>
      </c>
      <c r="H15" s="220">
        <f>0.8^(1/18)</f>
        <v>0.98767966060817336</v>
      </c>
    </row>
    <row r="16" spans="1:8">
      <c r="A16" s="73"/>
      <c r="B16" s="73"/>
      <c r="C16" s="73"/>
      <c r="D16" s="73"/>
      <c r="G16" s="107" t="s">
        <v>351</v>
      </c>
      <c r="H16" s="51">
        <f>H15-1</f>
        <v>-1.232033939182664E-2</v>
      </c>
    </row>
    <row r="18" spans="1:8" ht="15.75" thickBot="1">
      <c r="A18" t="s">
        <v>188</v>
      </c>
      <c r="B18" t="s">
        <v>360</v>
      </c>
      <c r="C18">
        <v>2030</v>
      </c>
    </row>
    <row r="19" spans="1:8" ht="15.75" thickBot="1">
      <c r="A19" s="191" t="s">
        <v>357</v>
      </c>
      <c r="B19" s="193">
        <f>B6</f>
        <v>2408.8865484645053</v>
      </c>
      <c r="C19" s="193">
        <f>B7</f>
        <v>4002.6551121593197</v>
      </c>
    </row>
    <row r="20" spans="1:8" ht="15.75" thickBot="1">
      <c r="A20" s="192" t="s">
        <v>358</v>
      </c>
      <c r="B20" s="193">
        <f>C6</f>
        <v>537.69789028225568</v>
      </c>
      <c r="C20" s="193">
        <f>C7</f>
        <v>893.44980182127676</v>
      </c>
      <c r="H20" s="51"/>
    </row>
    <row r="21" spans="1:8" ht="15.75" thickBot="1">
      <c r="A21" s="192" t="s">
        <v>359</v>
      </c>
      <c r="B21" s="193">
        <f>D6</f>
        <v>1075.3957805645114</v>
      </c>
      <c r="C21" s="193">
        <f>D7</f>
        <v>1786.8996036425535</v>
      </c>
    </row>
    <row r="23" spans="1:8" ht="15.75" thickBot="1">
      <c r="A23" s="107" t="s">
        <v>355</v>
      </c>
      <c r="B23" s="107" t="s">
        <v>360</v>
      </c>
      <c r="C23" s="107">
        <v>2030</v>
      </c>
    </row>
    <row r="24" spans="1:8" ht="15.75" thickBot="1">
      <c r="A24" s="191" t="s">
        <v>357</v>
      </c>
      <c r="B24" s="193">
        <f>B19</f>
        <v>2408.8865484645053</v>
      </c>
      <c r="C24" s="193">
        <f>B14</f>
        <v>4002.6551121593197</v>
      </c>
    </row>
    <row r="25" spans="1:8" ht="15.75" thickBot="1">
      <c r="A25" s="192" t="s">
        <v>358</v>
      </c>
      <c r="B25" s="193">
        <f>B20</f>
        <v>537.69789028225568</v>
      </c>
      <c r="C25" s="193">
        <f>C14</f>
        <v>893.44980182127676</v>
      </c>
    </row>
    <row r="26" spans="1:8" ht="15.75" thickBot="1">
      <c r="A26" s="192" t="s">
        <v>359</v>
      </c>
      <c r="B26" s="193">
        <f>B21</f>
        <v>1075.3957805645114</v>
      </c>
      <c r="C26" s="193">
        <f>D14</f>
        <v>1786.8996036425535</v>
      </c>
    </row>
    <row r="31" spans="1:8">
      <c r="A31" s="214" t="s">
        <v>278</v>
      </c>
      <c r="B31" s="223">
        <f>B6</f>
        <v>2408.8865484645053</v>
      </c>
      <c r="C31" s="223">
        <f t="shared" ref="C31:D31" si="1">C6</f>
        <v>537.69789028225568</v>
      </c>
      <c r="D31" s="223">
        <f t="shared" si="1"/>
        <v>1075.3957805645114</v>
      </c>
    </row>
    <row r="33" spans="2:2">
      <c r="B33">
        <f>B6*1.68</f>
        <v>4046.9294014203688</v>
      </c>
    </row>
    <row r="34" spans="2:2">
      <c r="B34">
        <f>B33*(1+(0.016*20))</f>
        <v>5341.9468098748866</v>
      </c>
    </row>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X64"/>
  <sheetViews>
    <sheetView topLeftCell="D1" zoomScaleNormal="100" workbookViewId="0">
      <selection activeCell="X16" sqref="X16:X17"/>
    </sheetView>
  </sheetViews>
  <sheetFormatPr defaultRowHeight="12.75"/>
  <cols>
    <col min="1" max="1" width="9.140625" style="110"/>
    <col min="2" max="2" width="33.5703125" style="155" customWidth="1"/>
    <col min="3" max="3" width="0.42578125" style="155" hidden="1" customWidth="1"/>
    <col min="4" max="4" width="6.42578125" style="155" customWidth="1"/>
    <col min="5" max="5" width="6.85546875" style="155" customWidth="1"/>
    <col min="6" max="6" width="6.42578125" style="155" customWidth="1"/>
    <col min="7" max="7" width="6.85546875" style="155" customWidth="1"/>
    <col min="8" max="8" width="6.28515625" style="155" customWidth="1"/>
    <col min="9" max="9" width="6.42578125" style="155" customWidth="1"/>
    <col min="10" max="10" width="6.7109375" style="155" customWidth="1"/>
    <col min="11" max="11" width="6.85546875" style="155" customWidth="1"/>
    <col min="12" max="13" width="6.5703125" style="155" customWidth="1"/>
    <col min="14" max="14" width="11.85546875" style="155" customWidth="1"/>
    <col min="15" max="15" width="10" style="110" customWidth="1"/>
    <col min="16" max="16" width="12.7109375" style="110" customWidth="1"/>
    <col min="17" max="17" width="15.7109375" style="110" customWidth="1"/>
    <col min="18" max="19" width="9.140625" style="136"/>
    <col min="20" max="21" width="9.5703125" style="110" bestFit="1" customWidth="1"/>
    <col min="22" max="22" width="13.140625" style="110" customWidth="1"/>
    <col min="23" max="252" width="9.140625" style="110"/>
    <col min="253" max="253" width="33.5703125" style="110" customWidth="1"/>
    <col min="254" max="254" width="0" style="110" hidden="1" customWidth="1"/>
    <col min="255" max="264" width="10.140625" style="110" customWidth="1"/>
    <col min="265" max="265" width="10" style="110" customWidth="1"/>
    <col min="266" max="266" width="10.85546875" style="110" customWidth="1"/>
    <col min="267" max="267" width="10" style="110" customWidth="1"/>
    <col min="268" max="268" width="11.85546875" style="110" customWidth="1"/>
    <col min="269" max="269" width="14.42578125" style="110" customWidth="1"/>
    <col min="270" max="508" width="9.140625" style="110"/>
    <col min="509" max="509" width="33.5703125" style="110" customWidth="1"/>
    <col min="510" max="510" width="0" style="110" hidden="1" customWidth="1"/>
    <col min="511" max="520" width="10.140625" style="110" customWidth="1"/>
    <col min="521" max="521" width="10" style="110" customWidth="1"/>
    <col min="522" max="522" width="10.85546875" style="110" customWidth="1"/>
    <col min="523" max="523" width="10" style="110" customWidth="1"/>
    <col min="524" max="524" width="11.85546875" style="110" customWidth="1"/>
    <col min="525" max="525" width="14.42578125" style="110" customWidth="1"/>
    <col min="526" max="764" width="9.140625" style="110"/>
    <col min="765" max="765" width="33.5703125" style="110" customWidth="1"/>
    <col min="766" max="766" width="0" style="110" hidden="1" customWidth="1"/>
    <col min="767" max="776" width="10.140625" style="110" customWidth="1"/>
    <col min="777" max="777" width="10" style="110" customWidth="1"/>
    <col min="778" max="778" width="10.85546875" style="110" customWidth="1"/>
    <col min="779" max="779" width="10" style="110" customWidth="1"/>
    <col min="780" max="780" width="11.85546875" style="110" customWidth="1"/>
    <col min="781" max="781" width="14.42578125" style="110" customWidth="1"/>
    <col min="782" max="1020" width="9.140625" style="110"/>
    <col min="1021" max="1021" width="33.5703125" style="110" customWidth="1"/>
    <col min="1022" max="1022" width="0" style="110" hidden="1" customWidth="1"/>
    <col min="1023" max="1032" width="10.140625" style="110" customWidth="1"/>
    <col min="1033" max="1033" width="10" style="110" customWidth="1"/>
    <col min="1034" max="1034" width="10.85546875" style="110" customWidth="1"/>
    <col min="1035" max="1035" width="10" style="110" customWidth="1"/>
    <col min="1036" max="1036" width="11.85546875" style="110" customWidth="1"/>
    <col min="1037" max="1037" width="14.42578125" style="110" customWidth="1"/>
    <col min="1038" max="1276" width="9.140625" style="110"/>
    <col min="1277" max="1277" width="33.5703125" style="110" customWidth="1"/>
    <col min="1278" max="1278" width="0" style="110" hidden="1" customWidth="1"/>
    <col min="1279" max="1288" width="10.140625" style="110" customWidth="1"/>
    <col min="1289" max="1289" width="10" style="110" customWidth="1"/>
    <col min="1290" max="1290" width="10.85546875" style="110" customWidth="1"/>
    <col min="1291" max="1291" width="10" style="110" customWidth="1"/>
    <col min="1292" max="1292" width="11.85546875" style="110" customWidth="1"/>
    <col min="1293" max="1293" width="14.42578125" style="110" customWidth="1"/>
    <col min="1294" max="1532" width="9.140625" style="110"/>
    <col min="1533" max="1533" width="33.5703125" style="110" customWidth="1"/>
    <col min="1534" max="1534" width="0" style="110" hidden="1" customWidth="1"/>
    <col min="1535" max="1544" width="10.140625" style="110" customWidth="1"/>
    <col min="1545" max="1545" width="10" style="110" customWidth="1"/>
    <col min="1546" max="1546" width="10.85546875" style="110" customWidth="1"/>
    <col min="1547" max="1547" width="10" style="110" customWidth="1"/>
    <col min="1548" max="1548" width="11.85546875" style="110" customWidth="1"/>
    <col min="1549" max="1549" width="14.42578125" style="110" customWidth="1"/>
    <col min="1550" max="1788" width="9.140625" style="110"/>
    <col min="1789" max="1789" width="33.5703125" style="110" customWidth="1"/>
    <col min="1790" max="1790" width="0" style="110" hidden="1" customWidth="1"/>
    <col min="1791" max="1800" width="10.140625" style="110" customWidth="1"/>
    <col min="1801" max="1801" width="10" style="110" customWidth="1"/>
    <col min="1802" max="1802" width="10.85546875" style="110" customWidth="1"/>
    <col min="1803" max="1803" width="10" style="110" customWidth="1"/>
    <col min="1804" max="1804" width="11.85546875" style="110" customWidth="1"/>
    <col min="1805" max="1805" width="14.42578125" style="110" customWidth="1"/>
    <col min="1806" max="2044" width="9.140625" style="110"/>
    <col min="2045" max="2045" width="33.5703125" style="110" customWidth="1"/>
    <col min="2046" max="2046" width="0" style="110" hidden="1" customWidth="1"/>
    <col min="2047" max="2056" width="10.140625" style="110" customWidth="1"/>
    <col min="2057" max="2057" width="10" style="110" customWidth="1"/>
    <col min="2058" max="2058" width="10.85546875" style="110" customWidth="1"/>
    <col min="2059" max="2059" width="10" style="110" customWidth="1"/>
    <col min="2060" max="2060" width="11.85546875" style="110" customWidth="1"/>
    <col min="2061" max="2061" width="14.42578125" style="110" customWidth="1"/>
    <col min="2062" max="2300" width="9.140625" style="110"/>
    <col min="2301" max="2301" width="33.5703125" style="110" customWidth="1"/>
    <col min="2302" max="2302" width="0" style="110" hidden="1" customWidth="1"/>
    <col min="2303" max="2312" width="10.140625" style="110" customWidth="1"/>
    <col min="2313" max="2313" width="10" style="110" customWidth="1"/>
    <col min="2314" max="2314" width="10.85546875" style="110" customWidth="1"/>
    <col min="2315" max="2315" width="10" style="110" customWidth="1"/>
    <col min="2316" max="2316" width="11.85546875" style="110" customWidth="1"/>
    <col min="2317" max="2317" width="14.42578125" style="110" customWidth="1"/>
    <col min="2318" max="2556" width="9.140625" style="110"/>
    <col min="2557" max="2557" width="33.5703125" style="110" customWidth="1"/>
    <col min="2558" max="2558" width="0" style="110" hidden="1" customWidth="1"/>
    <col min="2559" max="2568" width="10.140625" style="110" customWidth="1"/>
    <col min="2569" max="2569" width="10" style="110" customWidth="1"/>
    <col min="2570" max="2570" width="10.85546875" style="110" customWidth="1"/>
    <col min="2571" max="2571" width="10" style="110" customWidth="1"/>
    <col min="2572" max="2572" width="11.85546875" style="110" customWidth="1"/>
    <col min="2573" max="2573" width="14.42578125" style="110" customWidth="1"/>
    <col min="2574" max="2812" width="9.140625" style="110"/>
    <col min="2813" max="2813" width="33.5703125" style="110" customWidth="1"/>
    <col min="2814" max="2814" width="0" style="110" hidden="1" customWidth="1"/>
    <col min="2815" max="2824" width="10.140625" style="110" customWidth="1"/>
    <col min="2825" max="2825" width="10" style="110" customWidth="1"/>
    <col min="2826" max="2826" width="10.85546875" style="110" customWidth="1"/>
    <col min="2827" max="2827" width="10" style="110" customWidth="1"/>
    <col min="2828" max="2828" width="11.85546875" style="110" customWidth="1"/>
    <col min="2829" max="2829" width="14.42578125" style="110" customWidth="1"/>
    <col min="2830" max="3068" width="9.140625" style="110"/>
    <col min="3069" max="3069" width="33.5703125" style="110" customWidth="1"/>
    <col min="3070" max="3070" width="0" style="110" hidden="1" customWidth="1"/>
    <col min="3071" max="3080" width="10.140625" style="110" customWidth="1"/>
    <col min="3081" max="3081" width="10" style="110" customWidth="1"/>
    <col min="3082" max="3082" width="10.85546875" style="110" customWidth="1"/>
    <col min="3083" max="3083" width="10" style="110" customWidth="1"/>
    <col min="3084" max="3084" width="11.85546875" style="110" customWidth="1"/>
    <col min="3085" max="3085" width="14.42578125" style="110" customWidth="1"/>
    <col min="3086" max="3324" width="9.140625" style="110"/>
    <col min="3325" max="3325" width="33.5703125" style="110" customWidth="1"/>
    <col min="3326" max="3326" width="0" style="110" hidden="1" customWidth="1"/>
    <col min="3327" max="3336" width="10.140625" style="110" customWidth="1"/>
    <col min="3337" max="3337" width="10" style="110" customWidth="1"/>
    <col min="3338" max="3338" width="10.85546875" style="110" customWidth="1"/>
    <col min="3339" max="3339" width="10" style="110" customWidth="1"/>
    <col min="3340" max="3340" width="11.85546875" style="110" customWidth="1"/>
    <col min="3341" max="3341" width="14.42578125" style="110" customWidth="1"/>
    <col min="3342" max="3580" width="9.140625" style="110"/>
    <col min="3581" max="3581" width="33.5703125" style="110" customWidth="1"/>
    <col min="3582" max="3582" width="0" style="110" hidden="1" customWidth="1"/>
    <col min="3583" max="3592" width="10.140625" style="110" customWidth="1"/>
    <col min="3593" max="3593" width="10" style="110" customWidth="1"/>
    <col min="3594" max="3594" width="10.85546875" style="110" customWidth="1"/>
    <col min="3595" max="3595" width="10" style="110" customWidth="1"/>
    <col min="3596" max="3596" width="11.85546875" style="110" customWidth="1"/>
    <col min="3597" max="3597" width="14.42578125" style="110" customWidth="1"/>
    <col min="3598" max="3836" width="9.140625" style="110"/>
    <col min="3837" max="3837" width="33.5703125" style="110" customWidth="1"/>
    <col min="3838" max="3838" width="0" style="110" hidden="1" customWidth="1"/>
    <col min="3839" max="3848" width="10.140625" style="110" customWidth="1"/>
    <col min="3849" max="3849" width="10" style="110" customWidth="1"/>
    <col min="3850" max="3850" width="10.85546875" style="110" customWidth="1"/>
    <col min="3851" max="3851" width="10" style="110" customWidth="1"/>
    <col min="3852" max="3852" width="11.85546875" style="110" customWidth="1"/>
    <col min="3853" max="3853" width="14.42578125" style="110" customWidth="1"/>
    <col min="3854" max="4092" width="9.140625" style="110"/>
    <col min="4093" max="4093" width="33.5703125" style="110" customWidth="1"/>
    <col min="4094" max="4094" width="0" style="110" hidden="1" customWidth="1"/>
    <col min="4095" max="4104" width="10.140625" style="110" customWidth="1"/>
    <col min="4105" max="4105" width="10" style="110" customWidth="1"/>
    <col min="4106" max="4106" width="10.85546875" style="110" customWidth="1"/>
    <col min="4107" max="4107" width="10" style="110" customWidth="1"/>
    <col min="4108" max="4108" width="11.85546875" style="110" customWidth="1"/>
    <col min="4109" max="4109" width="14.42578125" style="110" customWidth="1"/>
    <col min="4110" max="4348" width="9.140625" style="110"/>
    <col min="4349" max="4349" width="33.5703125" style="110" customWidth="1"/>
    <col min="4350" max="4350" width="0" style="110" hidden="1" customWidth="1"/>
    <col min="4351" max="4360" width="10.140625" style="110" customWidth="1"/>
    <col min="4361" max="4361" width="10" style="110" customWidth="1"/>
    <col min="4362" max="4362" width="10.85546875" style="110" customWidth="1"/>
    <col min="4363" max="4363" width="10" style="110" customWidth="1"/>
    <col min="4364" max="4364" width="11.85546875" style="110" customWidth="1"/>
    <col min="4365" max="4365" width="14.42578125" style="110" customWidth="1"/>
    <col min="4366" max="4604" width="9.140625" style="110"/>
    <col min="4605" max="4605" width="33.5703125" style="110" customWidth="1"/>
    <col min="4606" max="4606" width="0" style="110" hidden="1" customWidth="1"/>
    <col min="4607" max="4616" width="10.140625" style="110" customWidth="1"/>
    <col min="4617" max="4617" width="10" style="110" customWidth="1"/>
    <col min="4618" max="4618" width="10.85546875" style="110" customWidth="1"/>
    <col min="4619" max="4619" width="10" style="110" customWidth="1"/>
    <col min="4620" max="4620" width="11.85546875" style="110" customWidth="1"/>
    <col min="4621" max="4621" width="14.42578125" style="110" customWidth="1"/>
    <col min="4622" max="4860" width="9.140625" style="110"/>
    <col min="4861" max="4861" width="33.5703125" style="110" customWidth="1"/>
    <col min="4862" max="4862" width="0" style="110" hidden="1" customWidth="1"/>
    <col min="4863" max="4872" width="10.140625" style="110" customWidth="1"/>
    <col min="4873" max="4873" width="10" style="110" customWidth="1"/>
    <col min="4874" max="4874" width="10.85546875" style="110" customWidth="1"/>
    <col min="4875" max="4875" width="10" style="110" customWidth="1"/>
    <col min="4876" max="4876" width="11.85546875" style="110" customWidth="1"/>
    <col min="4877" max="4877" width="14.42578125" style="110" customWidth="1"/>
    <col min="4878" max="5116" width="9.140625" style="110"/>
    <col min="5117" max="5117" width="33.5703125" style="110" customWidth="1"/>
    <col min="5118" max="5118" width="0" style="110" hidden="1" customWidth="1"/>
    <col min="5119" max="5128" width="10.140625" style="110" customWidth="1"/>
    <col min="5129" max="5129" width="10" style="110" customWidth="1"/>
    <col min="5130" max="5130" width="10.85546875" style="110" customWidth="1"/>
    <col min="5131" max="5131" width="10" style="110" customWidth="1"/>
    <col min="5132" max="5132" width="11.85546875" style="110" customWidth="1"/>
    <col min="5133" max="5133" width="14.42578125" style="110" customWidth="1"/>
    <col min="5134" max="5372" width="9.140625" style="110"/>
    <col min="5373" max="5373" width="33.5703125" style="110" customWidth="1"/>
    <col min="5374" max="5374" width="0" style="110" hidden="1" customWidth="1"/>
    <col min="5375" max="5384" width="10.140625" style="110" customWidth="1"/>
    <col min="5385" max="5385" width="10" style="110" customWidth="1"/>
    <col min="5386" max="5386" width="10.85546875" style="110" customWidth="1"/>
    <col min="5387" max="5387" width="10" style="110" customWidth="1"/>
    <col min="5388" max="5388" width="11.85546875" style="110" customWidth="1"/>
    <col min="5389" max="5389" width="14.42578125" style="110" customWidth="1"/>
    <col min="5390" max="5628" width="9.140625" style="110"/>
    <col min="5629" max="5629" width="33.5703125" style="110" customWidth="1"/>
    <col min="5630" max="5630" width="0" style="110" hidden="1" customWidth="1"/>
    <col min="5631" max="5640" width="10.140625" style="110" customWidth="1"/>
    <col min="5641" max="5641" width="10" style="110" customWidth="1"/>
    <col min="5642" max="5642" width="10.85546875" style="110" customWidth="1"/>
    <col min="5643" max="5643" width="10" style="110" customWidth="1"/>
    <col min="5644" max="5644" width="11.85546875" style="110" customWidth="1"/>
    <col min="5645" max="5645" width="14.42578125" style="110" customWidth="1"/>
    <col min="5646" max="5884" width="9.140625" style="110"/>
    <col min="5885" max="5885" width="33.5703125" style="110" customWidth="1"/>
    <col min="5886" max="5886" width="0" style="110" hidden="1" customWidth="1"/>
    <col min="5887" max="5896" width="10.140625" style="110" customWidth="1"/>
    <col min="5897" max="5897" width="10" style="110" customWidth="1"/>
    <col min="5898" max="5898" width="10.85546875" style="110" customWidth="1"/>
    <col min="5899" max="5899" width="10" style="110" customWidth="1"/>
    <col min="5900" max="5900" width="11.85546875" style="110" customWidth="1"/>
    <col min="5901" max="5901" width="14.42578125" style="110" customWidth="1"/>
    <col min="5902" max="6140" width="9.140625" style="110"/>
    <col min="6141" max="6141" width="33.5703125" style="110" customWidth="1"/>
    <col min="6142" max="6142" width="0" style="110" hidden="1" customWidth="1"/>
    <col min="6143" max="6152" width="10.140625" style="110" customWidth="1"/>
    <col min="6153" max="6153" width="10" style="110" customWidth="1"/>
    <col min="6154" max="6154" width="10.85546875" style="110" customWidth="1"/>
    <col min="6155" max="6155" width="10" style="110" customWidth="1"/>
    <col min="6156" max="6156" width="11.85546875" style="110" customWidth="1"/>
    <col min="6157" max="6157" width="14.42578125" style="110" customWidth="1"/>
    <col min="6158" max="6396" width="9.140625" style="110"/>
    <col min="6397" max="6397" width="33.5703125" style="110" customWidth="1"/>
    <col min="6398" max="6398" width="0" style="110" hidden="1" customWidth="1"/>
    <col min="6399" max="6408" width="10.140625" style="110" customWidth="1"/>
    <col min="6409" max="6409" width="10" style="110" customWidth="1"/>
    <col min="6410" max="6410" width="10.85546875" style="110" customWidth="1"/>
    <col min="6411" max="6411" width="10" style="110" customWidth="1"/>
    <col min="6412" max="6412" width="11.85546875" style="110" customWidth="1"/>
    <col min="6413" max="6413" width="14.42578125" style="110" customWidth="1"/>
    <col min="6414" max="6652" width="9.140625" style="110"/>
    <col min="6653" max="6653" width="33.5703125" style="110" customWidth="1"/>
    <col min="6654" max="6654" width="0" style="110" hidden="1" customWidth="1"/>
    <col min="6655" max="6664" width="10.140625" style="110" customWidth="1"/>
    <col min="6665" max="6665" width="10" style="110" customWidth="1"/>
    <col min="6666" max="6666" width="10.85546875" style="110" customWidth="1"/>
    <col min="6667" max="6667" width="10" style="110" customWidth="1"/>
    <col min="6668" max="6668" width="11.85546875" style="110" customWidth="1"/>
    <col min="6669" max="6669" width="14.42578125" style="110" customWidth="1"/>
    <col min="6670" max="6908" width="9.140625" style="110"/>
    <col min="6909" max="6909" width="33.5703125" style="110" customWidth="1"/>
    <col min="6910" max="6910" width="0" style="110" hidden="1" customWidth="1"/>
    <col min="6911" max="6920" width="10.140625" style="110" customWidth="1"/>
    <col min="6921" max="6921" width="10" style="110" customWidth="1"/>
    <col min="6922" max="6922" width="10.85546875" style="110" customWidth="1"/>
    <col min="6923" max="6923" width="10" style="110" customWidth="1"/>
    <col min="6924" max="6924" width="11.85546875" style="110" customWidth="1"/>
    <col min="6925" max="6925" width="14.42578125" style="110" customWidth="1"/>
    <col min="6926" max="7164" width="9.140625" style="110"/>
    <col min="7165" max="7165" width="33.5703125" style="110" customWidth="1"/>
    <col min="7166" max="7166" width="0" style="110" hidden="1" customWidth="1"/>
    <col min="7167" max="7176" width="10.140625" style="110" customWidth="1"/>
    <col min="7177" max="7177" width="10" style="110" customWidth="1"/>
    <col min="7178" max="7178" width="10.85546875" style="110" customWidth="1"/>
    <col min="7179" max="7179" width="10" style="110" customWidth="1"/>
    <col min="7180" max="7180" width="11.85546875" style="110" customWidth="1"/>
    <col min="7181" max="7181" width="14.42578125" style="110" customWidth="1"/>
    <col min="7182" max="7420" width="9.140625" style="110"/>
    <col min="7421" max="7421" width="33.5703125" style="110" customWidth="1"/>
    <col min="7422" max="7422" width="0" style="110" hidden="1" customWidth="1"/>
    <col min="7423" max="7432" width="10.140625" style="110" customWidth="1"/>
    <col min="7433" max="7433" width="10" style="110" customWidth="1"/>
    <col min="7434" max="7434" width="10.85546875" style="110" customWidth="1"/>
    <col min="7435" max="7435" width="10" style="110" customWidth="1"/>
    <col min="7436" max="7436" width="11.85546875" style="110" customWidth="1"/>
    <col min="7437" max="7437" width="14.42578125" style="110" customWidth="1"/>
    <col min="7438" max="7676" width="9.140625" style="110"/>
    <col min="7677" max="7677" width="33.5703125" style="110" customWidth="1"/>
    <col min="7678" max="7678" width="0" style="110" hidden="1" customWidth="1"/>
    <col min="7679" max="7688" width="10.140625" style="110" customWidth="1"/>
    <col min="7689" max="7689" width="10" style="110" customWidth="1"/>
    <col min="7690" max="7690" width="10.85546875" style="110" customWidth="1"/>
    <col min="7691" max="7691" width="10" style="110" customWidth="1"/>
    <col min="7692" max="7692" width="11.85546875" style="110" customWidth="1"/>
    <col min="7693" max="7693" width="14.42578125" style="110" customWidth="1"/>
    <col min="7694" max="7932" width="9.140625" style="110"/>
    <col min="7933" max="7933" width="33.5703125" style="110" customWidth="1"/>
    <col min="7934" max="7934" width="0" style="110" hidden="1" customWidth="1"/>
    <col min="7935" max="7944" width="10.140625" style="110" customWidth="1"/>
    <col min="7945" max="7945" width="10" style="110" customWidth="1"/>
    <col min="7946" max="7946" width="10.85546875" style="110" customWidth="1"/>
    <col min="7947" max="7947" width="10" style="110" customWidth="1"/>
    <col min="7948" max="7948" width="11.85546875" style="110" customWidth="1"/>
    <col min="7949" max="7949" width="14.42578125" style="110" customWidth="1"/>
    <col min="7950" max="8188" width="9.140625" style="110"/>
    <col min="8189" max="8189" width="33.5703125" style="110" customWidth="1"/>
    <col min="8190" max="8190" width="0" style="110" hidden="1" customWidth="1"/>
    <col min="8191" max="8200" width="10.140625" style="110" customWidth="1"/>
    <col min="8201" max="8201" width="10" style="110" customWidth="1"/>
    <col min="8202" max="8202" width="10.85546875" style="110" customWidth="1"/>
    <col min="8203" max="8203" width="10" style="110" customWidth="1"/>
    <col min="8204" max="8204" width="11.85546875" style="110" customWidth="1"/>
    <col min="8205" max="8205" width="14.42578125" style="110" customWidth="1"/>
    <col min="8206" max="8444" width="9.140625" style="110"/>
    <col min="8445" max="8445" width="33.5703125" style="110" customWidth="1"/>
    <col min="8446" max="8446" width="0" style="110" hidden="1" customWidth="1"/>
    <col min="8447" max="8456" width="10.140625" style="110" customWidth="1"/>
    <col min="8457" max="8457" width="10" style="110" customWidth="1"/>
    <col min="8458" max="8458" width="10.85546875" style="110" customWidth="1"/>
    <col min="8459" max="8459" width="10" style="110" customWidth="1"/>
    <col min="8460" max="8460" width="11.85546875" style="110" customWidth="1"/>
    <col min="8461" max="8461" width="14.42578125" style="110" customWidth="1"/>
    <col min="8462" max="8700" width="9.140625" style="110"/>
    <col min="8701" max="8701" width="33.5703125" style="110" customWidth="1"/>
    <col min="8702" max="8702" width="0" style="110" hidden="1" customWidth="1"/>
    <col min="8703" max="8712" width="10.140625" style="110" customWidth="1"/>
    <col min="8713" max="8713" width="10" style="110" customWidth="1"/>
    <col min="8714" max="8714" width="10.85546875" style="110" customWidth="1"/>
    <col min="8715" max="8715" width="10" style="110" customWidth="1"/>
    <col min="8716" max="8716" width="11.85546875" style="110" customWidth="1"/>
    <col min="8717" max="8717" width="14.42578125" style="110" customWidth="1"/>
    <col min="8718" max="8956" width="9.140625" style="110"/>
    <col min="8957" max="8957" width="33.5703125" style="110" customWidth="1"/>
    <col min="8958" max="8958" width="0" style="110" hidden="1" customWidth="1"/>
    <col min="8959" max="8968" width="10.140625" style="110" customWidth="1"/>
    <col min="8969" max="8969" width="10" style="110" customWidth="1"/>
    <col min="8970" max="8970" width="10.85546875" style="110" customWidth="1"/>
    <col min="8971" max="8971" width="10" style="110" customWidth="1"/>
    <col min="8972" max="8972" width="11.85546875" style="110" customWidth="1"/>
    <col min="8973" max="8973" width="14.42578125" style="110" customWidth="1"/>
    <col min="8974" max="9212" width="9.140625" style="110"/>
    <col min="9213" max="9213" width="33.5703125" style="110" customWidth="1"/>
    <col min="9214" max="9214" width="0" style="110" hidden="1" customWidth="1"/>
    <col min="9215" max="9224" width="10.140625" style="110" customWidth="1"/>
    <col min="9225" max="9225" width="10" style="110" customWidth="1"/>
    <col min="9226" max="9226" width="10.85546875" style="110" customWidth="1"/>
    <col min="9227" max="9227" width="10" style="110" customWidth="1"/>
    <col min="9228" max="9228" width="11.85546875" style="110" customWidth="1"/>
    <col min="9229" max="9229" width="14.42578125" style="110" customWidth="1"/>
    <col min="9230" max="9468" width="9.140625" style="110"/>
    <col min="9469" max="9469" width="33.5703125" style="110" customWidth="1"/>
    <col min="9470" max="9470" width="0" style="110" hidden="1" customWidth="1"/>
    <col min="9471" max="9480" width="10.140625" style="110" customWidth="1"/>
    <col min="9481" max="9481" width="10" style="110" customWidth="1"/>
    <col min="9482" max="9482" width="10.85546875" style="110" customWidth="1"/>
    <col min="9483" max="9483" width="10" style="110" customWidth="1"/>
    <col min="9484" max="9484" width="11.85546875" style="110" customWidth="1"/>
    <col min="9485" max="9485" width="14.42578125" style="110" customWidth="1"/>
    <col min="9486" max="9724" width="9.140625" style="110"/>
    <col min="9725" max="9725" width="33.5703125" style="110" customWidth="1"/>
    <col min="9726" max="9726" width="0" style="110" hidden="1" customWidth="1"/>
    <col min="9727" max="9736" width="10.140625" style="110" customWidth="1"/>
    <col min="9737" max="9737" width="10" style="110" customWidth="1"/>
    <col min="9738" max="9738" width="10.85546875" style="110" customWidth="1"/>
    <col min="9739" max="9739" width="10" style="110" customWidth="1"/>
    <col min="9740" max="9740" width="11.85546875" style="110" customWidth="1"/>
    <col min="9741" max="9741" width="14.42578125" style="110" customWidth="1"/>
    <col min="9742" max="9980" width="9.140625" style="110"/>
    <col min="9981" max="9981" width="33.5703125" style="110" customWidth="1"/>
    <col min="9982" max="9982" width="0" style="110" hidden="1" customWidth="1"/>
    <col min="9983" max="9992" width="10.140625" style="110" customWidth="1"/>
    <col min="9993" max="9993" width="10" style="110" customWidth="1"/>
    <col min="9994" max="9994" width="10.85546875" style="110" customWidth="1"/>
    <col min="9995" max="9995" width="10" style="110" customWidth="1"/>
    <col min="9996" max="9996" width="11.85546875" style="110" customWidth="1"/>
    <col min="9997" max="9997" width="14.42578125" style="110" customWidth="1"/>
    <col min="9998" max="10236" width="9.140625" style="110"/>
    <col min="10237" max="10237" width="33.5703125" style="110" customWidth="1"/>
    <col min="10238" max="10238" width="0" style="110" hidden="1" customWidth="1"/>
    <col min="10239" max="10248" width="10.140625" style="110" customWidth="1"/>
    <col min="10249" max="10249" width="10" style="110" customWidth="1"/>
    <col min="10250" max="10250" width="10.85546875" style="110" customWidth="1"/>
    <col min="10251" max="10251" width="10" style="110" customWidth="1"/>
    <col min="10252" max="10252" width="11.85546875" style="110" customWidth="1"/>
    <col min="10253" max="10253" width="14.42578125" style="110" customWidth="1"/>
    <col min="10254" max="10492" width="9.140625" style="110"/>
    <col min="10493" max="10493" width="33.5703125" style="110" customWidth="1"/>
    <col min="10494" max="10494" width="0" style="110" hidden="1" customWidth="1"/>
    <col min="10495" max="10504" width="10.140625" style="110" customWidth="1"/>
    <col min="10505" max="10505" width="10" style="110" customWidth="1"/>
    <col min="10506" max="10506" width="10.85546875" style="110" customWidth="1"/>
    <col min="10507" max="10507" width="10" style="110" customWidth="1"/>
    <col min="10508" max="10508" width="11.85546875" style="110" customWidth="1"/>
    <col min="10509" max="10509" width="14.42578125" style="110" customWidth="1"/>
    <col min="10510" max="10748" width="9.140625" style="110"/>
    <col min="10749" max="10749" width="33.5703125" style="110" customWidth="1"/>
    <col min="10750" max="10750" width="0" style="110" hidden="1" customWidth="1"/>
    <col min="10751" max="10760" width="10.140625" style="110" customWidth="1"/>
    <col min="10761" max="10761" width="10" style="110" customWidth="1"/>
    <col min="10762" max="10762" width="10.85546875" style="110" customWidth="1"/>
    <col min="10763" max="10763" width="10" style="110" customWidth="1"/>
    <col min="10764" max="10764" width="11.85546875" style="110" customWidth="1"/>
    <col min="10765" max="10765" width="14.42578125" style="110" customWidth="1"/>
    <col min="10766" max="11004" width="9.140625" style="110"/>
    <col min="11005" max="11005" width="33.5703125" style="110" customWidth="1"/>
    <col min="11006" max="11006" width="0" style="110" hidden="1" customWidth="1"/>
    <col min="11007" max="11016" width="10.140625" style="110" customWidth="1"/>
    <col min="11017" max="11017" width="10" style="110" customWidth="1"/>
    <col min="11018" max="11018" width="10.85546875" style="110" customWidth="1"/>
    <col min="11019" max="11019" width="10" style="110" customWidth="1"/>
    <col min="11020" max="11020" width="11.85546875" style="110" customWidth="1"/>
    <col min="11021" max="11021" width="14.42578125" style="110" customWidth="1"/>
    <col min="11022" max="11260" width="9.140625" style="110"/>
    <col min="11261" max="11261" width="33.5703125" style="110" customWidth="1"/>
    <col min="11262" max="11262" width="0" style="110" hidden="1" customWidth="1"/>
    <col min="11263" max="11272" width="10.140625" style="110" customWidth="1"/>
    <col min="11273" max="11273" width="10" style="110" customWidth="1"/>
    <col min="11274" max="11274" width="10.85546875" style="110" customWidth="1"/>
    <col min="11275" max="11275" width="10" style="110" customWidth="1"/>
    <col min="11276" max="11276" width="11.85546875" style="110" customWidth="1"/>
    <col min="11277" max="11277" width="14.42578125" style="110" customWidth="1"/>
    <col min="11278" max="11516" width="9.140625" style="110"/>
    <col min="11517" max="11517" width="33.5703125" style="110" customWidth="1"/>
    <col min="11518" max="11518" width="0" style="110" hidden="1" customWidth="1"/>
    <col min="11519" max="11528" width="10.140625" style="110" customWidth="1"/>
    <col min="11529" max="11529" width="10" style="110" customWidth="1"/>
    <col min="11530" max="11530" width="10.85546875" style="110" customWidth="1"/>
    <col min="11531" max="11531" width="10" style="110" customWidth="1"/>
    <col min="11532" max="11532" width="11.85546875" style="110" customWidth="1"/>
    <col min="11533" max="11533" width="14.42578125" style="110" customWidth="1"/>
    <col min="11534" max="11772" width="9.140625" style="110"/>
    <col min="11773" max="11773" width="33.5703125" style="110" customWidth="1"/>
    <col min="11774" max="11774" width="0" style="110" hidden="1" customWidth="1"/>
    <col min="11775" max="11784" width="10.140625" style="110" customWidth="1"/>
    <col min="11785" max="11785" width="10" style="110" customWidth="1"/>
    <col min="11786" max="11786" width="10.85546875" style="110" customWidth="1"/>
    <col min="11787" max="11787" width="10" style="110" customWidth="1"/>
    <col min="11788" max="11788" width="11.85546875" style="110" customWidth="1"/>
    <col min="11789" max="11789" width="14.42578125" style="110" customWidth="1"/>
    <col min="11790" max="12028" width="9.140625" style="110"/>
    <col min="12029" max="12029" width="33.5703125" style="110" customWidth="1"/>
    <col min="12030" max="12030" width="0" style="110" hidden="1" customWidth="1"/>
    <col min="12031" max="12040" width="10.140625" style="110" customWidth="1"/>
    <col min="12041" max="12041" width="10" style="110" customWidth="1"/>
    <col min="12042" max="12042" width="10.85546875" style="110" customWidth="1"/>
    <col min="12043" max="12043" width="10" style="110" customWidth="1"/>
    <col min="12044" max="12044" width="11.85546875" style="110" customWidth="1"/>
    <col min="12045" max="12045" width="14.42578125" style="110" customWidth="1"/>
    <col min="12046" max="12284" width="9.140625" style="110"/>
    <col min="12285" max="12285" width="33.5703125" style="110" customWidth="1"/>
    <col min="12286" max="12286" width="0" style="110" hidden="1" customWidth="1"/>
    <col min="12287" max="12296" width="10.140625" style="110" customWidth="1"/>
    <col min="12297" max="12297" width="10" style="110" customWidth="1"/>
    <col min="12298" max="12298" width="10.85546875" style="110" customWidth="1"/>
    <col min="12299" max="12299" width="10" style="110" customWidth="1"/>
    <col min="12300" max="12300" width="11.85546875" style="110" customWidth="1"/>
    <col min="12301" max="12301" width="14.42578125" style="110" customWidth="1"/>
    <col min="12302" max="12540" width="9.140625" style="110"/>
    <col min="12541" max="12541" width="33.5703125" style="110" customWidth="1"/>
    <col min="12542" max="12542" width="0" style="110" hidden="1" customWidth="1"/>
    <col min="12543" max="12552" width="10.140625" style="110" customWidth="1"/>
    <col min="12553" max="12553" width="10" style="110" customWidth="1"/>
    <col min="12554" max="12554" width="10.85546875" style="110" customWidth="1"/>
    <col min="12555" max="12555" width="10" style="110" customWidth="1"/>
    <col min="12556" max="12556" width="11.85546875" style="110" customWidth="1"/>
    <col min="12557" max="12557" width="14.42578125" style="110" customWidth="1"/>
    <col min="12558" max="12796" width="9.140625" style="110"/>
    <col min="12797" max="12797" width="33.5703125" style="110" customWidth="1"/>
    <col min="12798" max="12798" width="0" style="110" hidden="1" customWidth="1"/>
    <col min="12799" max="12808" width="10.140625" style="110" customWidth="1"/>
    <col min="12809" max="12809" width="10" style="110" customWidth="1"/>
    <col min="12810" max="12810" width="10.85546875" style="110" customWidth="1"/>
    <col min="12811" max="12811" width="10" style="110" customWidth="1"/>
    <col min="12812" max="12812" width="11.85546875" style="110" customWidth="1"/>
    <col min="12813" max="12813" width="14.42578125" style="110" customWidth="1"/>
    <col min="12814" max="13052" width="9.140625" style="110"/>
    <col min="13053" max="13053" width="33.5703125" style="110" customWidth="1"/>
    <col min="13054" max="13054" width="0" style="110" hidden="1" customWidth="1"/>
    <col min="13055" max="13064" width="10.140625" style="110" customWidth="1"/>
    <col min="13065" max="13065" width="10" style="110" customWidth="1"/>
    <col min="13066" max="13066" width="10.85546875" style="110" customWidth="1"/>
    <col min="13067" max="13067" width="10" style="110" customWidth="1"/>
    <col min="13068" max="13068" width="11.85546875" style="110" customWidth="1"/>
    <col min="13069" max="13069" width="14.42578125" style="110" customWidth="1"/>
    <col min="13070" max="13308" width="9.140625" style="110"/>
    <col min="13309" max="13309" width="33.5703125" style="110" customWidth="1"/>
    <col min="13310" max="13310" width="0" style="110" hidden="1" customWidth="1"/>
    <col min="13311" max="13320" width="10.140625" style="110" customWidth="1"/>
    <col min="13321" max="13321" width="10" style="110" customWidth="1"/>
    <col min="13322" max="13322" width="10.85546875" style="110" customWidth="1"/>
    <col min="13323" max="13323" width="10" style="110" customWidth="1"/>
    <col min="13324" max="13324" width="11.85546875" style="110" customWidth="1"/>
    <col min="13325" max="13325" width="14.42578125" style="110" customWidth="1"/>
    <col min="13326" max="13564" width="9.140625" style="110"/>
    <col min="13565" max="13565" width="33.5703125" style="110" customWidth="1"/>
    <col min="13566" max="13566" width="0" style="110" hidden="1" customWidth="1"/>
    <col min="13567" max="13576" width="10.140625" style="110" customWidth="1"/>
    <col min="13577" max="13577" width="10" style="110" customWidth="1"/>
    <col min="13578" max="13578" width="10.85546875" style="110" customWidth="1"/>
    <col min="13579" max="13579" width="10" style="110" customWidth="1"/>
    <col min="13580" max="13580" width="11.85546875" style="110" customWidth="1"/>
    <col min="13581" max="13581" width="14.42578125" style="110" customWidth="1"/>
    <col min="13582" max="13820" width="9.140625" style="110"/>
    <col min="13821" max="13821" width="33.5703125" style="110" customWidth="1"/>
    <col min="13822" max="13822" width="0" style="110" hidden="1" customWidth="1"/>
    <col min="13823" max="13832" width="10.140625" style="110" customWidth="1"/>
    <col min="13833" max="13833" width="10" style="110" customWidth="1"/>
    <col min="13834" max="13834" width="10.85546875" style="110" customWidth="1"/>
    <col min="13835" max="13835" width="10" style="110" customWidth="1"/>
    <col min="13836" max="13836" width="11.85546875" style="110" customWidth="1"/>
    <col min="13837" max="13837" width="14.42578125" style="110" customWidth="1"/>
    <col min="13838" max="14076" width="9.140625" style="110"/>
    <col min="14077" max="14077" width="33.5703125" style="110" customWidth="1"/>
    <col min="14078" max="14078" width="0" style="110" hidden="1" customWidth="1"/>
    <col min="14079" max="14088" width="10.140625" style="110" customWidth="1"/>
    <col min="14089" max="14089" width="10" style="110" customWidth="1"/>
    <col min="14090" max="14090" width="10.85546875" style="110" customWidth="1"/>
    <col min="14091" max="14091" width="10" style="110" customWidth="1"/>
    <col min="14092" max="14092" width="11.85546875" style="110" customWidth="1"/>
    <col min="14093" max="14093" width="14.42578125" style="110" customWidth="1"/>
    <col min="14094" max="14332" width="9.140625" style="110"/>
    <col min="14333" max="14333" width="33.5703125" style="110" customWidth="1"/>
    <col min="14334" max="14334" width="0" style="110" hidden="1" customWidth="1"/>
    <col min="14335" max="14344" width="10.140625" style="110" customWidth="1"/>
    <col min="14345" max="14345" width="10" style="110" customWidth="1"/>
    <col min="14346" max="14346" width="10.85546875" style="110" customWidth="1"/>
    <col min="14347" max="14347" width="10" style="110" customWidth="1"/>
    <col min="14348" max="14348" width="11.85546875" style="110" customWidth="1"/>
    <col min="14349" max="14349" width="14.42578125" style="110" customWidth="1"/>
    <col min="14350" max="14588" width="9.140625" style="110"/>
    <col min="14589" max="14589" width="33.5703125" style="110" customWidth="1"/>
    <col min="14590" max="14590" width="0" style="110" hidden="1" customWidth="1"/>
    <col min="14591" max="14600" width="10.140625" style="110" customWidth="1"/>
    <col min="14601" max="14601" width="10" style="110" customWidth="1"/>
    <col min="14602" max="14602" width="10.85546875" style="110" customWidth="1"/>
    <col min="14603" max="14603" width="10" style="110" customWidth="1"/>
    <col min="14604" max="14604" width="11.85546875" style="110" customWidth="1"/>
    <col min="14605" max="14605" width="14.42578125" style="110" customWidth="1"/>
    <col min="14606" max="14844" width="9.140625" style="110"/>
    <col min="14845" max="14845" width="33.5703125" style="110" customWidth="1"/>
    <col min="14846" max="14846" width="0" style="110" hidden="1" customWidth="1"/>
    <col min="14847" max="14856" width="10.140625" style="110" customWidth="1"/>
    <col min="14857" max="14857" width="10" style="110" customWidth="1"/>
    <col min="14858" max="14858" width="10.85546875" style="110" customWidth="1"/>
    <col min="14859" max="14859" width="10" style="110" customWidth="1"/>
    <col min="14860" max="14860" width="11.85546875" style="110" customWidth="1"/>
    <col min="14861" max="14861" width="14.42578125" style="110" customWidth="1"/>
    <col min="14862" max="15100" width="9.140625" style="110"/>
    <col min="15101" max="15101" width="33.5703125" style="110" customWidth="1"/>
    <col min="15102" max="15102" width="0" style="110" hidden="1" customWidth="1"/>
    <col min="15103" max="15112" width="10.140625" style="110" customWidth="1"/>
    <col min="15113" max="15113" width="10" style="110" customWidth="1"/>
    <col min="15114" max="15114" width="10.85546875" style="110" customWidth="1"/>
    <col min="15115" max="15115" width="10" style="110" customWidth="1"/>
    <col min="15116" max="15116" width="11.85546875" style="110" customWidth="1"/>
    <col min="15117" max="15117" width="14.42578125" style="110" customWidth="1"/>
    <col min="15118" max="15356" width="9.140625" style="110"/>
    <col min="15357" max="15357" width="33.5703125" style="110" customWidth="1"/>
    <col min="15358" max="15358" width="0" style="110" hidden="1" customWidth="1"/>
    <col min="15359" max="15368" width="10.140625" style="110" customWidth="1"/>
    <col min="15369" max="15369" width="10" style="110" customWidth="1"/>
    <col min="15370" max="15370" width="10.85546875" style="110" customWidth="1"/>
    <col min="15371" max="15371" width="10" style="110" customWidth="1"/>
    <col min="15372" max="15372" width="11.85546875" style="110" customWidth="1"/>
    <col min="15373" max="15373" width="14.42578125" style="110" customWidth="1"/>
    <col min="15374" max="15612" width="9.140625" style="110"/>
    <col min="15613" max="15613" width="33.5703125" style="110" customWidth="1"/>
    <col min="15614" max="15614" width="0" style="110" hidden="1" customWidth="1"/>
    <col min="15615" max="15624" width="10.140625" style="110" customWidth="1"/>
    <col min="15625" max="15625" width="10" style="110" customWidth="1"/>
    <col min="15626" max="15626" width="10.85546875" style="110" customWidth="1"/>
    <col min="15627" max="15627" width="10" style="110" customWidth="1"/>
    <col min="15628" max="15628" width="11.85546875" style="110" customWidth="1"/>
    <col min="15629" max="15629" width="14.42578125" style="110" customWidth="1"/>
    <col min="15630" max="15868" width="9.140625" style="110"/>
    <col min="15869" max="15869" width="33.5703125" style="110" customWidth="1"/>
    <col min="15870" max="15870" width="0" style="110" hidden="1" customWidth="1"/>
    <col min="15871" max="15880" width="10.140625" style="110" customWidth="1"/>
    <col min="15881" max="15881" width="10" style="110" customWidth="1"/>
    <col min="15882" max="15882" width="10.85546875" style="110" customWidth="1"/>
    <col min="15883" max="15883" width="10" style="110" customWidth="1"/>
    <col min="15884" max="15884" width="11.85546875" style="110" customWidth="1"/>
    <col min="15885" max="15885" width="14.42578125" style="110" customWidth="1"/>
    <col min="15886" max="16124" width="9.140625" style="110"/>
    <col min="16125" max="16125" width="33.5703125" style="110" customWidth="1"/>
    <col min="16126" max="16126" width="0" style="110" hidden="1" customWidth="1"/>
    <col min="16127" max="16136" width="10.140625" style="110" customWidth="1"/>
    <col min="16137" max="16137" width="10" style="110" customWidth="1"/>
    <col min="16138" max="16138" width="10.85546875" style="110" customWidth="1"/>
    <col min="16139" max="16139" width="10" style="110" customWidth="1"/>
    <col min="16140" max="16140" width="11.85546875" style="110" customWidth="1"/>
    <col min="16141" max="16141" width="14.42578125" style="110" customWidth="1"/>
    <col min="16142" max="16384" width="9.140625" style="110"/>
  </cols>
  <sheetData>
    <row r="1" spans="2:22" s="109" customFormat="1" ht="60" customHeight="1">
      <c r="B1" s="285" t="s">
        <v>89</v>
      </c>
      <c r="C1" s="284"/>
      <c r="D1" s="284"/>
      <c r="E1" s="284"/>
      <c r="F1" s="284"/>
      <c r="G1" s="284"/>
      <c r="H1" s="284"/>
      <c r="I1" s="284"/>
      <c r="J1" s="284"/>
      <c r="K1" s="284"/>
      <c r="L1" s="284"/>
      <c r="M1" s="284"/>
      <c r="N1" s="151"/>
      <c r="O1" s="108" t="s">
        <v>15</v>
      </c>
      <c r="P1" s="108" t="s">
        <v>10</v>
      </c>
      <c r="Q1" s="108" t="s">
        <v>9</v>
      </c>
      <c r="R1" s="134"/>
      <c r="S1" s="134"/>
      <c r="T1" s="109" t="s">
        <v>90</v>
      </c>
    </row>
    <row r="2" spans="2:22" s="162" customFormat="1">
      <c r="B2" s="152"/>
      <c r="C2" s="152"/>
      <c r="D2" s="286" t="s">
        <v>91</v>
      </c>
      <c r="E2" s="286" t="s">
        <v>92</v>
      </c>
      <c r="F2" s="279" t="s">
        <v>93</v>
      </c>
      <c r="G2" s="279" t="s">
        <v>94</v>
      </c>
      <c r="H2" s="279" t="s">
        <v>95</v>
      </c>
      <c r="I2" s="279" t="s">
        <v>96</v>
      </c>
      <c r="J2" s="279" t="s">
        <v>97</v>
      </c>
      <c r="K2" s="279" t="s">
        <v>98</v>
      </c>
      <c r="L2" s="279" t="s">
        <v>99</v>
      </c>
      <c r="M2" s="279" t="s">
        <v>100</v>
      </c>
      <c r="N2" s="148"/>
      <c r="O2" s="150">
        <v>1</v>
      </c>
      <c r="P2" s="150">
        <v>2</v>
      </c>
      <c r="Q2" s="150">
        <v>6</v>
      </c>
      <c r="R2" s="135" t="s">
        <v>171</v>
      </c>
      <c r="S2" s="135" t="s">
        <v>172</v>
      </c>
      <c r="T2" s="150">
        <v>1</v>
      </c>
      <c r="U2" s="150">
        <v>2</v>
      </c>
      <c r="V2" s="150">
        <v>6</v>
      </c>
    </row>
    <row r="3" spans="2:22" ht="23.25" customHeight="1">
      <c r="B3" s="153"/>
      <c r="C3" s="153"/>
      <c r="D3" s="287"/>
      <c r="E3" s="286"/>
      <c r="F3" s="287"/>
      <c r="G3" s="288"/>
      <c r="H3" s="280"/>
      <c r="I3" s="280"/>
      <c r="J3" s="280"/>
      <c r="K3" s="280"/>
      <c r="L3" s="280"/>
      <c r="M3" s="280"/>
      <c r="N3" s="149"/>
      <c r="O3" s="149"/>
      <c r="R3" s="281"/>
      <c r="S3" s="281"/>
    </row>
    <row r="4" spans="2:22" ht="12.75" customHeight="1">
      <c r="B4" s="153"/>
      <c r="C4" s="153"/>
      <c r="D4" s="287"/>
      <c r="E4" s="286"/>
      <c r="F4" s="287"/>
      <c r="G4" s="288"/>
      <c r="H4" s="280"/>
      <c r="I4" s="280"/>
      <c r="J4" s="280"/>
      <c r="K4" s="280"/>
      <c r="L4" s="280"/>
      <c r="M4" s="280"/>
      <c r="N4" s="149"/>
      <c r="R4" s="282"/>
      <c r="S4" s="282"/>
    </row>
    <row r="5" spans="2:22" ht="6" customHeight="1">
      <c r="B5" s="154"/>
      <c r="C5" s="154"/>
      <c r="D5" s="111"/>
      <c r="E5" s="111"/>
      <c r="F5" s="154"/>
      <c r="G5" s="111"/>
      <c r="H5" s="111"/>
      <c r="I5" s="111"/>
      <c r="J5" s="111"/>
      <c r="K5" s="111"/>
      <c r="L5" s="111"/>
      <c r="M5" s="111"/>
      <c r="N5" s="147"/>
    </row>
    <row r="6" spans="2:22" ht="6" customHeight="1">
      <c r="B6" s="283" t="s">
        <v>101</v>
      </c>
      <c r="E6" s="156"/>
      <c r="F6" s="156"/>
      <c r="G6" s="156"/>
      <c r="H6" s="156"/>
      <c r="I6" s="156"/>
      <c r="J6" s="156"/>
      <c r="K6" s="156"/>
      <c r="L6" s="156"/>
      <c r="M6" s="156"/>
      <c r="N6" s="156"/>
    </row>
    <row r="7" spans="2:22" ht="8.25" customHeight="1">
      <c r="B7" s="280"/>
    </row>
    <row r="8" spans="2:22" ht="12" customHeight="1">
      <c r="B8" s="284"/>
      <c r="D8" s="155">
        <v>239</v>
      </c>
      <c r="E8" s="155">
        <v>322</v>
      </c>
      <c r="F8" s="155">
        <v>389</v>
      </c>
      <c r="G8" s="155">
        <v>479</v>
      </c>
      <c r="H8" s="155">
        <v>525</v>
      </c>
      <c r="I8" s="155">
        <v>631</v>
      </c>
      <c r="J8" s="155">
        <v>792</v>
      </c>
      <c r="K8" s="155">
        <v>947</v>
      </c>
      <c r="L8" s="155">
        <v>1040</v>
      </c>
      <c r="M8" s="155">
        <v>1057</v>
      </c>
    </row>
    <row r="9" spans="2:22" ht="1.5" customHeight="1">
      <c r="P9" s="112"/>
      <c r="Q9" s="112"/>
    </row>
    <row r="10" spans="2:22" ht="14.25" customHeight="1">
      <c r="B10" s="149" t="s">
        <v>102</v>
      </c>
    </row>
    <row r="11" spans="2:22" s="112" customFormat="1" ht="12.75" customHeight="1">
      <c r="B11" s="149" t="s">
        <v>103</v>
      </c>
      <c r="C11" s="153"/>
      <c r="D11" s="157">
        <v>1.2</v>
      </c>
      <c r="E11" s="157">
        <v>1.2</v>
      </c>
      <c r="F11" s="157">
        <v>1.4</v>
      </c>
      <c r="G11" s="157">
        <v>1.7</v>
      </c>
      <c r="H11" s="157">
        <v>1.8</v>
      </c>
      <c r="I11" s="157">
        <v>2.2000000000000002</v>
      </c>
      <c r="J11" s="157">
        <v>2.6</v>
      </c>
      <c r="K11" s="157">
        <v>2.9</v>
      </c>
      <c r="L11" s="157">
        <v>3.1</v>
      </c>
      <c r="M11" s="157">
        <v>3.2</v>
      </c>
      <c r="N11" s="157"/>
      <c r="Q11" s="110"/>
      <c r="R11" s="137"/>
      <c r="S11" s="137"/>
    </row>
    <row r="12" spans="2:22" ht="1.5" customHeight="1">
      <c r="B12" s="149"/>
    </row>
    <row r="13" spans="2:22" ht="17.25" customHeight="1">
      <c r="B13" s="113" t="s">
        <v>104</v>
      </c>
      <c r="D13" s="158">
        <v>1.0900000000000001</v>
      </c>
      <c r="E13" s="158">
        <v>1.1000000000000001</v>
      </c>
      <c r="F13" s="158">
        <v>1.19</v>
      </c>
      <c r="G13" s="158">
        <v>1.34</v>
      </c>
      <c r="H13" s="158">
        <v>1.41</v>
      </c>
      <c r="I13" s="158">
        <v>1.58</v>
      </c>
      <c r="J13" s="158">
        <v>1.78</v>
      </c>
      <c r="K13" s="158">
        <v>1.94</v>
      </c>
      <c r="L13" s="158">
        <v>2.0499999999999998</v>
      </c>
      <c r="M13" s="158">
        <v>2.1</v>
      </c>
      <c r="N13" s="158" t="s">
        <v>183</v>
      </c>
      <c r="O13" s="110">
        <v>3</v>
      </c>
      <c r="P13" s="110">
        <v>3</v>
      </c>
      <c r="Q13" s="110">
        <v>1.52</v>
      </c>
    </row>
    <row r="14" spans="2:22" ht="1.5" customHeight="1">
      <c r="B14" s="149"/>
      <c r="D14" s="114"/>
      <c r="E14" s="114"/>
      <c r="F14" s="114"/>
      <c r="G14" s="114"/>
      <c r="H14" s="114"/>
      <c r="I14" s="114"/>
      <c r="J14" s="114"/>
      <c r="K14" s="114"/>
      <c r="L14" s="114"/>
      <c r="M14" s="114"/>
      <c r="N14" s="114"/>
    </row>
    <row r="15" spans="2:22" ht="15.75" customHeight="1">
      <c r="B15" s="113" t="s">
        <v>105</v>
      </c>
      <c r="D15" s="159">
        <v>309870</v>
      </c>
      <c r="E15" s="159">
        <v>400070</v>
      </c>
      <c r="F15" s="159">
        <v>408020</v>
      </c>
      <c r="G15" s="159">
        <v>404310</v>
      </c>
      <c r="H15" s="159">
        <v>411090</v>
      </c>
      <c r="I15" s="159">
        <v>410330</v>
      </c>
      <c r="J15" s="159">
        <v>410690</v>
      </c>
      <c r="K15" s="159">
        <v>411230</v>
      </c>
      <c r="L15" s="159">
        <v>411940</v>
      </c>
      <c r="M15" s="159">
        <v>410760</v>
      </c>
      <c r="N15" s="159"/>
      <c r="P15" s="115"/>
      <c r="Q15" s="115"/>
    </row>
    <row r="16" spans="2:22" ht="12" customHeight="1">
      <c r="B16" s="116" t="s">
        <v>106</v>
      </c>
      <c r="D16" s="114" t="s">
        <v>107</v>
      </c>
      <c r="E16" s="114" t="s">
        <v>108</v>
      </c>
      <c r="F16" s="114" t="s">
        <v>109</v>
      </c>
      <c r="G16" s="114" t="s">
        <v>110</v>
      </c>
      <c r="H16" s="114" t="s">
        <v>111</v>
      </c>
      <c r="I16" s="114" t="s">
        <v>112</v>
      </c>
      <c r="J16" s="114" t="s">
        <v>113</v>
      </c>
      <c r="K16" s="114" t="s">
        <v>114</v>
      </c>
      <c r="L16" s="114" t="s">
        <v>115</v>
      </c>
      <c r="M16" s="114" t="s">
        <v>116</v>
      </c>
      <c r="N16" s="114"/>
    </row>
    <row r="17" spans="1:76" s="115" customFormat="1" ht="8.25" customHeight="1">
      <c r="B17" s="153"/>
      <c r="C17" s="117"/>
      <c r="D17" s="159"/>
      <c r="E17" s="159"/>
      <c r="F17" s="159"/>
      <c r="G17" s="159"/>
      <c r="H17" s="159"/>
      <c r="I17" s="159"/>
      <c r="J17" s="159"/>
      <c r="K17" s="159"/>
      <c r="L17" s="159"/>
      <c r="M17" s="159"/>
      <c r="N17" s="159"/>
      <c r="R17" s="138"/>
      <c r="S17" s="138"/>
    </row>
    <row r="18" spans="1:76" ht="12" customHeight="1">
      <c r="B18" s="113" t="s">
        <v>117</v>
      </c>
      <c r="C18" s="154"/>
      <c r="D18" s="159">
        <v>74630</v>
      </c>
      <c r="E18" s="159">
        <v>135860</v>
      </c>
      <c r="F18" s="159">
        <v>179840</v>
      </c>
      <c r="G18" s="159">
        <v>219510</v>
      </c>
      <c r="H18" s="159">
        <v>262100</v>
      </c>
      <c r="I18" s="159">
        <v>312780</v>
      </c>
      <c r="J18" s="159">
        <v>375650</v>
      </c>
      <c r="K18" s="159">
        <v>443260</v>
      </c>
      <c r="L18" s="159">
        <v>526860</v>
      </c>
      <c r="M18" s="159">
        <v>868450</v>
      </c>
      <c r="N18" s="159"/>
      <c r="O18" s="110">
        <v>723667</v>
      </c>
      <c r="P18" s="94">
        <v>293751</v>
      </c>
      <c r="Q18" s="118">
        <v>222221</v>
      </c>
    </row>
    <row r="19" spans="1:76" s="109" customFormat="1" ht="17.25" customHeight="1">
      <c r="B19" s="119" t="s">
        <v>118</v>
      </c>
      <c r="C19" s="120"/>
      <c r="D19" s="121" t="s">
        <v>119</v>
      </c>
      <c r="E19" s="121" t="s">
        <v>120</v>
      </c>
      <c r="F19" s="121" t="s">
        <v>121</v>
      </c>
      <c r="G19" s="121" t="s">
        <v>122</v>
      </c>
      <c r="H19" s="121" t="s">
        <v>123</v>
      </c>
      <c r="I19" s="121" t="s">
        <v>124</v>
      </c>
      <c r="J19" s="121" t="s">
        <v>125</v>
      </c>
      <c r="K19" s="121" t="s">
        <v>126</v>
      </c>
      <c r="L19" s="121" t="s">
        <v>127</v>
      </c>
      <c r="M19" s="121" t="s">
        <v>128</v>
      </c>
      <c r="N19" s="114"/>
      <c r="R19" s="134"/>
      <c r="S19" s="134"/>
    </row>
    <row r="20" spans="1:76" s="109" customFormat="1" ht="17.25" customHeight="1">
      <c r="B20" s="116" t="s">
        <v>129</v>
      </c>
      <c r="C20" s="122"/>
      <c r="D20" s="123">
        <f t="shared" ref="D20:M20" si="0">D18/D13</f>
        <v>68467.889908256882</v>
      </c>
      <c r="E20" s="123">
        <f t="shared" si="0"/>
        <v>123509.0909090909</v>
      </c>
      <c r="F20" s="123">
        <f t="shared" si="0"/>
        <v>151126.05042016806</v>
      </c>
      <c r="G20" s="123">
        <f t="shared" si="0"/>
        <v>163813.43283582089</v>
      </c>
      <c r="H20" s="123">
        <f t="shared" si="0"/>
        <v>185886.52482269504</v>
      </c>
      <c r="I20" s="123">
        <f t="shared" si="0"/>
        <v>197962.02531645569</v>
      </c>
      <c r="J20" s="123">
        <f t="shared" si="0"/>
        <v>211039.32584269662</v>
      </c>
      <c r="K20" s="123">
        <f t="shared" si="0"/>
        <v>228484.53608247422</v>
      </c>
      <c r="L20" s="123">
        <f t="shared" si="0"/>
        <v>257004.87804878052</v>
      </c>
      <c r="M20" s="123">
        <f t="shared" si="0"/>
        <v>413547.61904761905</v>
      </c>
      <c r="N20" s="123"/>
      <c r="O20" s="123">
        <f t="shared" ref="O20:Q20" si="1">O18/O13</f>
        <v>241222.33333333334</v>
      </c>
      <c r="P20" s="123">
        <f>P18/P13</f>
        <v>97917</v>
      </c>
      <c r="Q20" s="123">
        <f t="shared" si="1"/>
        <v>146198.02631578947</v>
      </c>
      <c r="R20" s="139"/>
      <c r="S20" s="140"/>
      <c r="T20" s="125"/>
      <c r="U20" s="125"/>
      <c r="V20" s="125"/>
      <c r="W20" s="125"/>
      <c r="X20" s="125"/>
      <c r="Y20" s="125"/>
      <c r="Z20" s="125"/>
      <c r="AA20" s="125"/>
      <c r="AB20" s="125"/>
      <c r="AC20" s="125"/>
      <c r="AD20" s="125"/>
      <c r="AE20" s="125"/>
      <c r="AF20" s="125"/>
      <c r="AG20" s="125"/>
      <c r="AH20" s="125"/>
      <c r="AI20" s="125"/>
      <c r="AJ20" s="125"/>
      <c r="AK20" s="125"/>
      <c r="AL20" s="125"/>
      <c r="AM20" s="125"/>
      <c r="AN20" s="125"/>
      <c r="AO20" s="125"/>
      <c r="AP20" s="125"/>
      <c r="AQ20" s="125"/>
      <c r="AR20" s="125"/>
      <c r="AS20" s="125"/>
      <c r="AT20" s="125"/>
      <c r="AU20" s="125"/>
      <c r="AV20" s="125"/>
      <c r="AW20" s="125"/>
      <c r="AX20" s="125"/>
      <c r="AY20" s="125"/>
      <c r="AZ20" s="125"/>
      <c r="BA20" s="125"/>
      <c r="BB20" s="125"/>
      <c r="BC20" s="125"/>
      <c r="BD20" s="125"/>
      <c r="BE20" s="125"/>
      <c r="BF20" s="125"/>
      <c r="BG20" s="125"/>
      <c r="BH20" s="125"/>
      <c r="BI20" s="125"/>
      <c r="BJ20" s="125"/>
      <c r="BK20" s="125"/>
      <c r="BL20" s="125"/>
      <c r="BM20" s="125"/>
      <c r="BN20" s="125"/>
      <c r="BO20" s="125"/>
      <c r="BP20" s="125"/>
      <c r="BQ20" s="125"/>
      <c r="BR20" s="125"/>
      <c r="BS20" s="125"/>
      <c r="BT20" s="125"/>
      <c r="BU20" s="125"/>
      <c r="BV20" s="125"/>
      <c r="BW20" s="125"/>
      <c r="BX20" s="125"/>
    </row>
    <row r="21" spans="1:76" ht="15">
      <c r="B21" s="122" t="s">
        <v>130</v>
      </c>
      <c r="D21" s="126">
        <v>141810</v>
      </c>
      <c r="E21" s="126">
        <v>150630</v>
      </c>
      <c r="F21" s="126">
        <v>172560</v>
      </c>
      <c r="G21" s="126">
        <v>204090</v>
      </c>
      <c r="H21" s="126">
        <v>240580</v>
      </c>
      <c r="I21" s="126">
        <v>273820</v>
      </c>
      <c r="J21" s="126">
        <v>316770</v>
      </c>
      <c r="K21" s="126">
        <v>360160</v>
      </c>
      <c r="L21" s="126">
        <v>402060</v>
      </c>
      <c r="M21" s="126">
        <v>508500</v>
      </c>
      <c r="N21" s="126"/>
      <c r="O21" s="127"/>
      <c r="P21" s="127"/>
      <c r="Q21" s="127"/>
      <c r="R21" s="141"/>
      <c r="S21" s="141"/>
      <c r="T21" s="128"/>
      <c r="U21" s="128"/>
      <c r="V21" s="129"/>
      <c r="W21" s="129"/>
      <c r="X21" s="129"/>
      <c r="Y21" s="129"/>
      <c r="Z21" s="129"/>
      <c r="AA21" s="129"/>
      <c r="AB21" s="129"/>
      <c r="AC21" s="129"/>
      <c r="AD21" s="129"/>
      <c r="AE21" s="129"/>
      <c r="AF21" s="129"/>
      <c r="AG21" s="129"/>
      <c r="AH21" s="129"/>
      <c r="AI21" s="129"/>
      <c r="AJ21" s="129"/>
      <c r="AK21" s="129"/>
      <c r="AL21" s="129"/>
      <c r="AM21" s="129"/>
      <c r="AN21" s="129"/>
      <c r="AO21" s="129"/>
      <c r="AP21" s="129"/>
      <c r="AQ21" s="129"/>
      <c r="AR21" s="129"/>
      <c r="AS21" s="129"/>
      <c r="AT21" s="129"/>
      <c r="AU21" s="129"/>
      <c r="AV21" s="129"/>
      <c r="AW21" s="129"/>
      <c r="AX21" s="129"/>
      <c r="AY21" s="129"/>
      <c r="AZ21" s="129"/>
      <c r="BA21" s="129"/>
      <c r="BB21" s="129"/>
      <c r="BC21" s="129"/>
      <c r="BD21" s="129"/>
      <c r="BE21" s="129"/>
      <c r="BF21" s="129"/>
      <c r="BG21" s="129"/>
      <c r="BH21" s="129"/>
      <c r="BI21" s="129"/>
      <c r="BJ21" s="129"/>
      <c r="BK21" s="129"/>
      <c r="BL21" s="129"/>
      <c r="BM21" s="129"/>
      <c r="BN21" s="129"/>
      <c r="BO21" s="129"/>
      <c r="BP21" s="129"/>
      <c r="BQ21" s="129"/>
      <c r="BR21" s="129"/>
      <c r="BS21" s="129"/>
      <c r="BT21" s="129"/>
      <c r="BU21" s="129"/>
      <c r="BV21" s="129"/>
      <c r="BW21" s="129"/>
      <c r="BX21" s="129"/>
    </row>
    <row r="22" spans="1:76" s="129" customFormat="1">
      <c r="B22" s="142" t="s">
        <v>131</v>
      </c>
      <c r="C22" s="160"/>
      <c r="D22" s="143">
        <f t="shared" ref="D22:L22" si="2">D21/D13</f>
        <v>130100.91743119265</v>
      </c>
      <c r="E22" s="143">
        <f>E21/E13</f>
        <v>136936.36363636362</v>
      </c>
      <c r="F22" s="143">
        <f t="shared" si="2"/>
        <v>145008.40336134454</v>
      </c>
      <c r="G22" s="143">
        <f t="shared" si="2"/>
        <v>152305.97014925373</v>
      </c>
      <c r="H22" s="143">
        <f t="shared" si="2"/>
        <v>170624.11347517732</v>
      </c>
      <c r="I22" s="143">
        <f t="shared" si="2"/>
        <v>173303.79746835443</v>
      </c>
      <c r="J22" s="143">
        <f t="shared" si="2"/>
        <v>177960.67415730338</v>
      </c>
      <c r="K22" s="143">
        <f t="shared" si="2"/>
        <v>185649.48453608248</v>
      </c>
      <c r="L22" s="143">
        <f t="shared" si="2"/>
        <v>196126.8292682927</v>
      </c>
      <c r="M22" s="143">
        <f>M21/M13</f>
        <v>242142.85714285713</v>
      </c>
      <c r="N22" s="143" t="s">
        <v>344</v>
      </c>
      <c r="O22" s="124">
        <f>(O20*L23)+23000</f>
        <v>207082.77595566184</v>
      </c>
      <c r="P22" s="124">
        <f>P20*E23</f>
        <v>108562.0323126748</v>
      </c>
      <c r="Q22" s="124">
        <f>(Q20*F23)+10600</f>
        <v>150879.86777720548</v>
      </c>
      <c r="R22" s="139"/>
      <c r="S22" s="139"/>
      <c r="T22" s="128"/>
      <c r="U22" s="128"/>
    </row>
    <row r="23" spans="1:76" s="129" customFormat="1">
      <c r="B23" s="142" t="s">
        <v>132</v>
      </c>
      <c r="C23" s="160"/>
      <c r="D23" s="144">
        <f t="shared" ref="D23:L23" si="3">D22/D20</f>
        <v>1.9001741926839071</v>
      </c>
      <c r="E23" s="144">
        <f t="shared" si="3"/>
        <v>1.1087148535256881</v>
      </c>
      <c r="F23" s="144">
        <f t="shared" si="3"/>
        <v>0.95951957295373669</v>
      </c>
      <c r="G23" s="144">
        <f t="shared" si="3"/>
        <v>0.92975263085964199</v>
      </c>
      <c r="H23" s="144">
        <f t="shared" si="3"/>
        <v>0.91789393361312488</v>
      </c>
      <c r="I23" s="144">
        <f t="shared" si="3"/>
        <v>0.87543960611292282</v>
      </c>
      <c r="J23" s="144">
        <f t="shared" si="3"/>
        <v>0.84325835218953826</v>
      </c>
      <c r="K23" s="144">
        <f t="shared" si="3"/>
        <v>0.81252538013806797</v>
      </c>
      <c r="L23" s="144">
        <f t="shared" si="3"/>
        <v>0.76312492882359639</v>
      </c>
      <c r="M23" s="144">
        <f>M22/M20</f>
        <v>0.58552593701422073</v>
      </c>
      <c r="N23" s="144"/>
      <c r="O23" s="124"/>
      <c r="R23" s="139"/>
      <c r="S23" s="139"/>
      <c r="T23" s="128"/>
      <c r="U23" s="128"/>
    </row>
    <row r="24" spans="1:76" s="132" customFormat="1">
      <c r="B24" s="130" t="s">
        <v>133</v>
      </c>
      <c r="C24" s="161"/>
      <c r="D24" s="133"/>
      <c r="E24" s="133"/>
      <c r="F24" s="133"/>
      <c r="G24" s="133"/>
      <c r="H24" s="133"/>
      <c r="I24" s="133"/>
      <c r="J24" s="133"/>
      <c r="K24" s="133"/>
      <c r="L24" s="133"/>
      <c r="M24" s="133"/>
      <c r="N24" s="133"/>
      <c r="O24" s="131">
        <v>9</v>
      </c>
      <c r="P24" s="132">
        <v>2</v>
      </c>
      <c r="Q24" s="132">
        <v>3</v>
      </c>
      <c r="R24" s="145"/>
      <c r="S24" s="145"/>
      <c r="T24" s="146"/>
      <c r="U24" s="146"/>
    </row>
    <row r="25" spans="1:76" s="163" customFormat="1">
      <c r="B25" s="182" t="s">
        <v>134</v>
      </c>
      <c r="C25" s="183"/>
      <c r="D25" s="184"/>
      <c r="E25" s="184"/>
      <c r="F25" s="184"/>
      <c r="G25" s="184"/>
      <c r="H25" s="184"/>
      <c r="I25" s="184"/>
      <c r="J25" s="184"/>
      <c r="K25" s="184"/>
      <c r="L25" s="184"/>
      <c r="M25" s="184"/>
      <c r="N25" s="184"/>
      <c r="O25" s="164"/>
      <c r="R25" s="177"/>
      <c r="S25" s="177"/>
      <c r="T25" s="165"/>
      <c r="U25" s="165"/>
    </row>
    <row r="26" spans="1:76" ht="15">
      <c r="B26" s="166" t="s">
        <v>135</v>
      </c>
      <c r="D26" s="167">
        <v>3.6</v>
      </c>
      <c r="E26" s="167">
        <v>2.8</v>
      </c>
      <c r="F26" s="167">
        <v>3.3</v>
      </c>
      <c r="G26" s="167">
        <v>3.3</v>
      </c>
      <c r="H26" s="167">
        <v>3.7</v>
      </c>
      <c r="I26" s="167">
        <v>3.3</v>
      </c>
      <c r="J26" s="167">
        <v>3.6</v>
      </c>
      <c r="K26" s="167">
        <v>3.4</v>
      </c>
      <c r="L26" s="167">
        <v>3.8</v>
      </c>
      <c r="M26" s="167">
        <v>4.3</v>
      </c>
      <c r="N26" s="167"/>
      <c r="O26" s="168">
        <f t="shared" ref="O26:O60" si="4">$O$22*L26/100</f>
        <v>7869.1454863151503</v>
      </c>
      <c r="P26" s="168">
        <f t="shared" ref="P26:P60" si="5">$P$22*E26/100</f>
        <v>3039.7369047548941</v>
      </c>
      <c r="Q26" s="168">
        <f t="shared" ref="Q26:Q60" si="6">$Q$22*F26/100</f>
        <v>4979.0356366477808</v>
      </c>
      <c r="R26" s="136">
        <v>111</v>
      </c>
      <c r="S26" s="236">
        <v>2.1399999999999999E-2</v>
      </c>
      <c r="T26" s="179">
        <f t="shared" ref="T26:T60" si="7">O26*$S26</f>
        <v>168.39971340714422</v>
      </c>
      <c r="U26" s="179">
        <f t="shared" ref="U26:U60" si="8">P26*$S26</f>
        <v>65.050369761754737</v>
      </c>
      <c r="V26" s="179">
        <f t="shared" ref="V26:V60" si="9">Q26*$S26</f>
        <v>106.55136262426251</v>
      </c>
    </row>
    <row r="27" spans="1:76" ht="15">
      <c r="B27" s="169" t="s">
        <v>136</v>
      </c>
      <c r="D27" s="167">
        <v>1.4</v>
      </c>
      <c r="E27" s="167">
        <v>1.2</v>
      </c>
      <c r="F27" s="167">
        <v>1.8</v>
      </c>
      <c r="G27" s="167">
        <v>1.5</v>
      </c>
      <c r="H27" s="167">
        <v>1.7</v>
      </c>
      <c r="I27" s="167">
        <v>1.3</v>
      </c>
      <c r="J27" s="167">
        <v>1.3</v>
      </c>
      <c r="K27" s="167">
        <v>1.4</v>
      </c>
      <c r="L27" s="167">
        <v>1.4</v>
      </c>
      <c r="M27" s="167">
        <v>1.4</v>
      </c>
      <c r="N27" s="167"/>
      <c r="O27" s="168">
        <f t="shared" si="4"/>
        <v>2899.1588633792653</v>
      </c>
      <c r="P27" s="168">
        <f t="shared" si="5"/>
        <v>1302.7443877520975</v>
      </c>
      <c r="Q27" s="168">
        <f t="shared" si="6"/>
        <v>2715.8376199896989</v>
      </c>
      <c r="R27" s="136">
        <v>2131</v>
      </c>
      <c r="S27" s="236">
        <v>1.6E-2</v>
      </c>
      <c r="T27" s="179">
        <f t="shared" si="7"/>
        <v>46.386541814068245</v>
      </c>
      <c r="U27" s="179">
        <f t="shared" si="8"/>
        <v>20.843910204033559</v>
      </c>
      <c r="V27" s="179">
        <f t="shared" si="9"/>
        <v>43.45340191983518</v>
      </c>
    </row>
    <row r="28" spans="1:76" ht="15">
      <c r="B28" s="169" t="s">
        <v>137</v>
      </c>
      <c r="D28" s="167">
        <v>1.2</v>
      </c>
      <c r="E28" s="167">
        <v>1.2</v>
      </c>
      <c r="F28" s="167">
        <v>1.1000000000000001</v>
      </c>
      <c r="G28" s="167">
        <v>1.3</v>
      </c>
      <c r="H28" s="167">
        <v>1.1000000000000001</v>
      </c>
      <c r="I28" s="167">
        <v>0.8</v>
      </c>
      <c r="J28" s="167">
        <v>0.8</v>
      </c>
      <c r="K28" s="167">
        <v>0.6</v>
      </c>
      <c r="L28" s="167">
        <v>0.5</v>
      </c>
      <c r="M28" s="167">
        <v>0.4</v>
      </c>
      <c r="N28" s="167"/>
      <c r="O28" s="168">
        <f t="shared" si="4"/>
        <v>1035.4138797783091</v>
      </c>
      <c r="P28" s="168">
        <f t="shared" si="5"/>
        <v>1302.7443877520975</v>
      </c>
      <c r="Q28" s="168">
        <f t="shared" si="6"/>
        <v>1659.6785455492604</v>
      </c>
      <c r="R28" s="136">
        <v>22</v>
      </c>
      <c r="S28" s="236">
        <v>5.3E-3</v>
      </c>
      <c r="T28" s="179">
        <f t="shared" si="7"/>
        <v>5.4876935628250383</v>
      </c>
      <c r="U28" s="179">
        <f t="shared" si="8"/>
        <v>6.9045452550861173</v>
      </c>
      <c r="V28" s="179">
        <f t="shared" si="9"/>
        <v>8.79629629141108</v>
      </c>
    </row>
    <row r="29" spans="1:76" ht="34.5">
      <c r="A29" s="272" t="s">
        <v>138</v>
      </c>
      <c r="B29" s="166" t="s">
        <v>138</v>
      </c>
      <c r="D29" s="167">
        <v>2.5</v>
      </c>
      <c r="E29" s="167">
        <v>2.2000000000000002</v>
      </c>
      <c r="F29" s="167">
        <v>2.1</v>
      </c>
      <c r="G29" s="167">
        <v>1.7</v>
      </c>
      <c r="H29" s="167">
        <v>2.2000000000000002</v>
      </c>
      <c r="I29" s="167">
        <v>2.1</v>
      </c>
      <c r="J29" s="167">
        <v>2.2000000000000002</v>
      </c>
      <c r="K29" s="167">
        <v>2.2000000000000002</v>
      </c>
      <c r="L29" s="167">
        <v>2.2999999999999998</v>
      </c>
      <c r="M29" s="167">
        <v>2</v>
      </c>
      <c r="N29" s="167"/>
      <c r="O29" s="168">
        <f t="shared" si="4"/>
        <v>4762.9038469802217</v>
      </c>
      <c r="P29" s="168">
        <f t="shared" si="5"/>
        <v>2388.3647108788455</v>
      </c>
      <c r="Q29" s="168">
        <f t="shared" si="6"/>
        <v>3168.4772233213153</v>
      </c>
      <c r="R29" s="136">
        <v>561</v>
      </c>
      <c r="S29" s="236">
        <v>2.1600000000000001E-2</v>
      </c>
      <c r="T29" s="179">
        <f t="shared" si="7"/>
        <v>102.87872309477279</v>
      </c>
      <c r="U29" s="179">
        <f t="shared" si="8"/>
        <v>51.588677754983067</v>
      </c>
      <c r="V29" s="179">
        <f t="shared" si="9"/>
        <v>68.439108023740417</v>
      </c>
    </row>
    <row r="30" spans="1:76" ht="45.75">
      <c r="A30" s="172" t="s">
        <v>140</v>
      </c>
      <c r="B30" s="172" t="s">
        <v>140</v>
      </c>
      <c r="D30" s="171">
        <v>0.7</v>
      </c>
      <c r="E30" s="171">
        <v>0.7</v>
      </c>
      <c r="F30" s="171">
        <v>1</v>
      </c>
      <c r="G30" s="171">
        <v>1.1000000000000001</v>
      </c>
      <c r="H30" s="171">
        <v>1</v>
      </c>
      <c r="I30" s="171">
        <v>1.1000000000000001</v>
      </c>
      <c r="J30" s="171">
        <v>1.3</v>
      </c>
      <c r="K30" s="171">
        <v>1.4</v>
      </c>
      <c r="L30" s="171">
        <v>1.4</v>
      </c>
      <c r="M30" s="171">
        <v>1.2</v>
      </c>
      <c r="N30" s="171"/>
      <c r="O30" s="168">
        <f t="shared" si="4"/>
        <v>2899.1588633792653</v>
      </c>
      <c r="P30" s="168">
        <f t="shared" si="5"/>
        <v>759.93422618872353</v>
      </c>
      <c r="Q30" s="168">
        <f t="shared" si="6"/>
        <v>1508.7986777720548</v>
      </c>
      <c r="R30" s="136">
        <v>125</v>
      </c>
      <c r="S30" s="236">
        <v>3.8E-3</v>
      </c>
      <c r="T30" s="179">
        <f t="shared" si="7"/>
        <v>11.016803680841209</v>
      </c>
      <c r="U30" s="179">
        <f t="shared" si="8"/>
        <v>2.8877500595171495</v>
      </c>
      <c r="V30" s="179">
        <f t="shared" si="9"/>
        <v>5.7334349755338083</v>
      </c>
    </row>
    <row r="31" spans="1:76" ht="23.25">
      <c r="A31" s="172" t="s">
        <v>141</v>
      </c>
      <c r="B31" s="172" t="s">
        <v>141</v>
      </c>
      <c r="D31" s="171">
        <v>1.4</v>
      </c>
      <c r="E31" s="171">
        <v>1.7</v>
      </c>
      <c r="F31" s="171">
        <v>1.7</v>
      </c>
      <c r="G31" s="171">
        <v>1.9</v>
      </c>
      <c r="H31" s="171">
        <v>2</v>
      </c>
      <c r="I31" s="171">
        <v>2.4</v>
      </c>
      <c r="J31" s="171">
        <v>1.8</v>
      </c>
      <c r="K31" s="171">
        <v>1.8</v>
      </c>
      <c r="L31" s="171">
        <v>2</v>
      </c>
      <c r="M31" s="171">
        <v>2.1</v>
      </c>
      <c r="N31" s="171"/>
      <c r="O31" s="168">
        <f t="shared" si="4"/>
        <v>4141.6555191132366</v>
      </c>
      <c r="P31" s="168">
        <f t="shared" si="5"/>
        <v>1845.5545493154714</v>
      </c>
      <c r="Q31" s="168">
        <f t="shared" si="6"/>
        <v>2564.9577522124932</v>
      </c>
      <c r="R31" s="178">
        <v>127</v>
      </c>
      <c r="S31" s="237">
        <v>8.6999999999999994E-3</v>
      </c>
      <c r="T31" s="179">
        <f t="shared" si="7"/>
        <v>36.032403016285159</v>
      </c>
      <c r="U31" s="179">
        <f t="shared" si="8"/>
        <v>16.056324579044599</v>
      </c>
      <c r="V31" s="179">
        <f t="shared" si="9"/>
        <v>22.31513244424869</v>
      </c>
    </row>
    <row r="32" spans="1:76" ht="15">
      <c r="A32" s="272" t="s">
        <v>142</v>
      </c>
      <c r="B32" s="166" t="s">
        <v>142</v>
      </c>
      <c r="D32" s="167">
        <v>2.9</v>
      </c>
      <c r="E32" s="167">
        <v>3.4</v>
      </c>
      <c r="F32" s="167">
        <v>3.4</v>
      </c>
      <c r="G32" s="167">
        <v>3.4</v>
      </c>
      <c r="H32" s="167">
        <v>3.2</v>
      </c>
      <c r="I32" s="167">
        <v>3.5</v>
      </c>
      <c r="J32" s="167">
        <v>3.9</v>
      </c>
      <c r="K32" s="167">
        <v>3.6</v>
      </c>
      <c r="L32" s="167">
        <v>4</v>
      </c>
      <c r="M32" s="167">
        <v>5.2</v>
      </c>
      <c r="N32" s="167"/>
      <c r="O32" s="168">
        <f t="shared" si="4"/>
        <v>8283.3110382264731</v>
      </c>
      <c r="P32" s="168">
        <f t="shared" si="5"/>
        <v>3691.1090986309428</v>
      </c>
      <c r="Q32" s="168">
        <f t="shared" si="6"/>
        <v>5129.9155044249865</v>
      </c>
      <c r="R32" s="136">
        <v>312</v>
      </c>
      <c r="S32" s="236">
        <v>1.6299999999999999E-2</v>
      </c>
      <c r="T32" s="179">
        <f t="shared" si="7"/>
        <v>135.0179699230915</v>
      </c>
      <c r="U32" s="179">
        <f t="shared" si="8"/>
        <v>60.165078307684361</v>
      </c>
      <c r="V32" s="179">
        <f t="shared" si="9"/>
        <v>83.617622722127265</v>
      </c>
    </row>
    <row r="33" spans="1:22" ht="15">
      <c r="A33" s="273" t="s">
        <v>143</v>
      </c>
      <c r="B33" s="173" t="s">
        <v>143</v>
      </c>
      <c r="D33" s="167">
        <v>1</v>
      </c>
      <c r="E33" s="167">
        <v>0.6</v>
      </c>
      <c r="F33" s="167">
        <v>0.7</v>
      </c>
      <c r="G33" s="167">
        <v>0.6</v>
      </c>
      <c r="H33" s="167">
        <v>0.7</v>
      </c>
      <c r="I33" s="167">
        <v>0.8</v>
      </c>
      <c r="J33" s="167">
        <v>0.8</v>
      </c>
      <c r="K33" s="167">
        <v>0.9</v>
      </c>
      <c r="L33" s="167">
        <v>0.9</v>
      </c>
      <c r="M33" s="167">
        <v>1</v>
      </c>
      <c r="N33" s="167"/>
      <c r="O33" s="168">
        <f t="shared" si="4"/>
        <v>1863.7449836009566</v>
      </c>
      <c r="P33" s="168">
        <f t="shared" si="5"/>
        <v>651.37219387604875</v>
      </c>
      <c r="Q33" s="168">
        <f t="shared" si="6"/>
        <v>1056.1590744404382</v>
      </c>
      <c r="R33" s="136">
        <v>321</v>
      </c>
      <c r="S33" s="236">
        <v>2.3E-2</v>
      </c>
      <c r="T33" s="179">
        <f t="shared" si="7"/>
        <v>42.866134622822003</v>
      </c>
      <c r="U33" s="179">
        <f t="shared" si="8"/>
        <v>14.98156045914912</v>
      </c>
      <c r="V33" s="179">
        <f t="shared" si="9"/>
        <v>24.291658712130079</v>
      </c>
    </row>
    <row r="34" spans="1:22" ht="34.5">
      <c r="A34" s="174" t="s">
        <v>144</v>
      </c>
      <c r="B34" s="174" t="s">
        <v>144</v>
      </c>
      <c r="D34" s="171">
        <v>25.5</v>
      </c>
      <c r="E34" s="171">
        <v>29.8</v>
      </c>
      <c r="F34" s="171">
        <v>23.2</v>
      </c>
      <c r="G34" s="171">
        <v>22.4</v>
      </c>
      <c r="H34" s="171">
        <v>16.600000000000001</v>
      </c>
      <c r="I34" s="171">
        <v>12.8</v>
      </c>
      <c r="J34" s="171">
        <v>10.1</v>
      </c>
      <c r="K34" s="171">
        <v>7.6</v>
      </c>
      <c r="L34" s="171">
        <v>6.4</v>
      </c>
      <c r="M34" s="171">
        <v>4</v>
      </c>
      <c r="N34" s="171"/>
      <c r="O34" s="168">
        <f t="shared" si="4"/>
        <v>13253.297661162358</v>
      </c>
      <c r="P34" s="168">
        <f t="shared" si="5"/>
        <v>32351.485629177088</v>
      </c>
      <c r="Q34" s="168">
        <f t="shared" si="6"/>
        <v>35004.129324311667</v>
      </c>
      <c r="R34" s="136" t="s">
        <v>173</v>
      </c>
      <c r="S34" s="236">
        <v>1.4500000000000001E-2</v>
      </c>
      <c r="T34" s="179">
        <f t="shared" si="7"/>
        <v>192.1728160868542</v>
      </c>
      <c r="U34" s="179">
        <f t="shared" si="8"/>
        <v>469.09654162306782</v>
      </c>
      <c r="V34" s="179">
        <f t="shared" si="9"/>
        <v>507.55987520251921</v>
      </c>
    </row>
    <row r="35" spans="1:22" ht="23.25">
      <c r="A35" s="274" t="s">
        <v>145</v>
      </c>
      <c r="B35" s="174" t="s">
        <v>145</v>
      </c>
      <c r="D35" s="171">
        <v>1.3</v>
      </c>
      <c r="E35" s="171">
        <v>0.4</v>
      </c>
      <c r="F35" s="171">
        <v>0.8</v>
      </c>
      <c r="G35" s="171">
        <v>0.9</v>
      </c>
      <c r="H35" s="171">
        <v>1.1000000000000001</v>
      </c>
      <c r="I35" s="171">
        <v>1.7</v>
      </c>
      <c r="J35" s="171">
        <v>1.8</v>
      </c>
      <c r="K35" s="171">
        <v>1.7</v>
      </c>
      <c r="L35" s="171">
        <v>2.4</v>
      </c>
      <c r="M35" s="171">
        <v>2.1</v>
      </c>
      <c r="N35" s="171"/>
      <c r="O35" s="168">
        <f t="shared" si="4"/>
        <v>4969.986622935884</v>
      </c>
      <c r="P35" s="168">
        <f t="shared" si="5"/>
        <v>434.24812925069921</v>
      </c>
      <c r="Q35" s="168">
        <f t="shared" si="6"/>
        <v>1207.038942217644</v>
      </c>
      <c r="R35" s="136">
        <v>43</v>
      </c>
      <c r="S35" s="236">
        <v>2.01E-2</v>
      </c>
      <c r="T35" s="179">
        <f t="shared" si="7"/>
        <v>99.896731121011271</v>
      </c>
      <c r="U35" s="179">
        <f t="shared" si="8"/>
        <v>8.7283873979390538</v>
      </c>
      <c r="V35" s="179">
        <f t="shared" si="9"/>
        <v>24.261482738574646</v>
      </c>
    </row>
    <row r="36" spans="1:22" ht="34.5">
      <c r="A36" s="174" t="s">
        <v>146</v>
      </c>
      <c r="B36" s="174" t="s">
        <v>146</v>
      </c>
      <c r="D36" s="171">
        <v>0.9</v>
      </c>
      <c r="E36" s="171">
        <v>1</v>
      </c>
      <c r="F36" s="171">
        <v>0.8</v>
      </c>
      <c r="G36" s="171">
        <v>0.8</v>
      </c>
      <c r="H36" s="171">
        <v>0.6</v>
      </c>
      <c r="I36" s="171">
        <v>0.8</v>
      </c>
      <c r="J36" s="171">
        <v>0.8</v>
      </c>
      <c r="K36" s="171">
        <v>0.8</v>
      </c>
      <c r="L36" s="171">
        <v>0.8</v>
      </c>
      <c r="M36" s="171">
        <v>0.8</v>
      </c>
      <c r="N36" s="171"/>
      <c r="O36" s="168">
        <f t="shared" si="4"/>
        <v>1656.6622076452948</v>
      </c>
      <c r="P36" s="168">
        <f t="shared" si="5"/>
        <v>1085.620323126748</v>
      </c>
      <c r="Q36" s="168">
        <f t="shared" si="6"/>
        <v>1207.038942217644</v>
      </c>
      <c r="R36" s="136">
        <v>125</v>
      </c>
      <c r="S36" s="236">
        <v>3.8E-3</v>
      </c>
      <c r="T36" s="179">
        <f t="shared" si="7"/>
        <v>6.29531638905212</v>
      </c>
      <c r="U36" s="179">
        <f t="shared" si="8"/>
        <v>4.1253572278816426</v>
      </c>
      <c r="V36" s="179">
        <f t="shared" si="9"/>
        <v>4.586747980427047</v>
      </c>
    </row>
    <row r="37" spans="1:22" ht="34.5">
      <c r="A37" s="275" t="s">
        <v>147</v>
      </c>
      <c r="B37" s="170" t="s">
        <v>147</v>
      </c>
      <c r="D37" s="171">
        <v>1.5</v>
      </c>
      <c r="E37" s="171">
        <v>1.1000000000000001</v>
      </c>
      <c r="F37" s="171">
        <v>1.2</v>
      </c>
      <c r="G37" s="171">
        <v>1.3</v>
      </c>
      <c r="H37" s="171">
        <v>1.2</v>
      </c>
      <c r="I37" s="171">
        <v>1.8</v>
      </c>
      <c r="J37" s="171">
        <v>1.9</v>
      </c>
      <c r="K37" s="171">
        <v>1.9</v>
      </c>
      <c r="L37" s="171">
        <v>1.8</v>
      </c>
      <c r="M37" s="171">
        <v>1.7</v>
      </c>
      <c r="N37" s="171"/>
      <c r="O37" s="168">
        <f t="shared" si="4"/>
        <v>3727.4899672019133</v>
      </c>
      <c r="P37" s="168">
        <f t="shared" si="5"/>
        <v>1194.1823554394227</v>
      </c>
      <c r="Q37" s="168">
        <f t="shared" si="6"/>
        <v>1810.5584133264658</v>
      </c>
      <c r="R37" s="136">
        <v>43</v>
      </c>
      <c r="S37" s="236">
        <v>2.01E-2</v>
      </c>
      <c r="T37" s="179">
        <f t="shared" si="7"/>
        <v>74.922548340758453</v>
      </c>
      <c r="U37" s="179">
        <f t="shared" si="8"/>
        <v>24.003065344332398</v>
      </c>
      <c r="V37" s="179">
        <f t="shared" si="9"/>
        <v>36.392224107861963</v>
      </c>
    </row>
    <row r="38" spans="1:22" ht="45.75">
      <c r="A38" s="170" t="s">
        <v>148</v>
      </c>
      <c r="B38" s="170" t="s">
        <v>148</v>
      </c>
      <c r="D38" s="171">
        <v>4.0999999999999996</v>
      </c>
      <c r="E38" s="171">
        <v>3.7</v>
      </c>
      <c r="F38" s="171">
        <v>3.9</v>
      </c>
      <c r="G38" s="171">
        <v>4</v>
      </c>
      <c r="H38" s="171">
        <v>3.8</v>
      </c>
      <c r="I38" s="171">
        <v>4.3</v>
      </c>
      <c r="J38" s="171">
        <v>4.5999999999999996</v>
      </c>
      <c r="K38" s="171">
        <v>4.2</v>
      </c>
      <c r="L38" s="171">
        <v>3.9</v>
      </c>
      <c r="M38" s="171">
        <v>4.0999999999999996</v>
      </c>
      <c r="N38" s="171"/>
      <c r="O38" s="168">
        <f t="shared" si="4"/>
        <v>8076.2282622708117</v>
      </c>
      <c r="P38" s="168">
        <f t="shared" si="5"/>
        <v>4016.7951955689678</v>
      </c>
      <c r="Q38" s="168">
        <f t="shared" si="6"/>
        <v>5884.3148433110146</v>
      </c>
      <c r="R38" s="136" t="s">
        <v>174</v>
      </c>
      <c r="S38" s="236"/>
      <c r="T38" s="179">
        <f t="shared" si="7"/>
        <v>0</v>
      </c>
      <c r="U38" s="179">
        <f t="shared" si="8"/>
        <v>0</v>
      </c>
      <c r="V38" s="179">
        <f t="shared" si="9"/>
        <v>0</v>
      </c>
    </row>
    <row r="39" spans="1:22" ht="23.25">
      <c r="A39" s="175" t="s">
        <v>149</v>
      </c>
      <c r="B39" s="175" t="s">
        <v>149</v>
      </c>
      <c r="D39" s="171">
        <v>2.5</v>
      </c>
      <c r="E39" s="171">
        <v>2.2000000000000002</v>
      </c>
      <c r="F39" s="171">
        <v>2.4</v>
      </c>
      <c r="G39" s="171">
        <v>2.8</v>
      </c>
      <c r="H39" s="171">
        <v>3.6</v>
      </c>
      <c r="I39" s="171">
        <v>5.2</v>
      </c>
      <c r="J39" s="171">
        <v>5.3</v>
      </c>
      <c r="K39" s="171">
        <v>6.6</v>
      </c>
      <c r="L39" s="171">
        <v>8.1999999999999993</v>
      </c>
      <c r="M39" s="171">
        <v>8</v>
      </c>
      <c r="N39" s="171"/>
      <c r="O39" s="168">
        <f t="shared" si="4"/>
        <v>16980.787628364269</v>
      </c>
      <c r="P39" s="168">
        <f t="shared" si="5"/>
        <v>2388.3647108788455</v>
      </c>
      <c r="Q39" s="168">
        <f t="shared" si="6"/>
        <v>3621.1168266529316</v>
      </c>
      <c r="R39" s="136">
        <v>126</v>
      </c>
      <c r="S39" s="236">
        <v>4.8999999999999998E-3</v>
      </c>
      <c r="T39" s="179">
        <f t="shared" si="7"/>
        <v>83.205859378984911</v>
      </c>
      <c r="U39" s="179">
        <f t="shared" si="8"/>
        <v>11.702987083306342</v>
      </c>
      <c r="V39" s="179">
        <f t="shared" si="9"/>
        <v>17.743472450599363</v>
      </c>
    </row>
    <row r="40" spans="1:22" ht="23.25">
      <c r="A40" s="175" t="s">
        <v>150</v>
      </c>
      <c r="B40" s="175" t="s">
        <v>150</v>
      </c>
      <c r="D40" s="171" t="s">
        <v>139</v>
      </c>
      <c r="E40" s="171">
        <v>0.2</v>
      </c>
      <c r="F40" s="171">
        <v>0.2</v>
      </c>
      <c r="G40" s="171">
        <v>0.2</v>
      </c>
      <c r="H40" s="171">
        <v>0.3</v>
      </c>
      <c r="I40" s="171">
        <v>0.3</v>
      </c>
      <c r="J40" s="171">
        <v>0.4</v>
      </c>
      <c r="K40" s="171">
        <v>0.4</v>
      </c>
      <c r="L40" s="171">
        <v>0.4</v>
      </c>
      <c r="M40" s="171">
        <v>0.5</v>
      </c>
      <c r="N40" s="171"/>
      <c r="O40" s="168">
        <f t="shared" si="4"/>
        <v>828.33110382264738</v>
      </c>
      <c r="P40" s="168">
        <f t="shared" si="5"/>
        <v>217.1240646253496</v>
      </c>
      <c r="Q40" s="168">
        <f t="shared" si="6"/>
        <v>301.75973555441101</v>
      </c>
      <c r="R40" s="136">
        <v>126</v>
      </c>
      <c r="S40" s="236">
        <v>4.8999999999999998E-3</v>
      </c>
      <c r="T40" s="179">
        <f t="shared" si="7"/>
        <v>4.0588224087309719</v>
      </c>
      <c r="U40" s="179">
        <f t="shared" si="8"/>
        <v>1.0639079166642129</v>
      </c>
      <c r="V40" s="179">
        <f t="shared" si="9"/>
        <v>1.4786227042166138</v>
      </c>
    </row>
    <row r="41" spans="1:22" ht="23.25">
      <c r="A41" s="175" t="s">
        <v>151</v>
      </c>
      <c r="B41" s="175" t="s">
        <v>151</v>
      </c>
      <c r="D41" s="171">
        <v>0</v>
      </c>
      <c r="E41" s="171">
        <v>0</v>
      </c>
      <c r="F41" s="171">
        <v>0</v>
      </c>
      <c r="G41" s="171">
        <v>0</v>
      </c>
      <c r="H41" s="171">
        <v>0</v>
      </c>
      <c r="I41" s="171">
        <v>0</v>
      </c>
      <c r="J41" s="171">
        <v>0</v>
      </c>
      <c r="K41" s="171">
        <v>0</v>
      </c>
      <c r="L41" s="171">
        <v>0</v>
      </c>
      <c r="M41" s="171">
        <v>0</v>
      </c>
      <c r="N41" s="171"/>
      <c r="O41" s="168">
        <f t="shared" si="4"/>
        <v>0</v>
      </c>
      <c r="P41" s="168">
        <f t="shared" si="5"/>
        <v>0</v>
      </c>
      <c r="Q41" s="168">
        <f t="shared" si="6"/>
        <v>0</v>
      </c>
      <c r="S41" s="236"/>
      <c r="T41" s="179">
        <f t="shared" si="7"/>
        <v>0</v>
      </c>
      <c r="U41" s="179">
        <f t="shared" si="8"/>
        <v>0</v>
      </c>
      <c r="V41" s="179">
        <f t="shared" si="9"/>
        <v>0</v>
      </c>
    </row>
    <row r="42" spans="1:22" ht="34.5">
      <c r="A42" s="275" t="s">
        <v>152</v>
      </c>
      <c r="B42" s="170" t="s">
        <v>152</v>
      </c>
      <c r="D42" s="171">
        <v>1.2</v>
      </c>
      <c r="E42" s="171">
        <v>1.1000000000000001</v>
      </c>
      <c r="F42" s="171">
        <v>1.9</v>
      </c>
      <c r="G42" s="171">
        <v>1.8</v>
      </c>
      <c r="H42" s="171">
        <v>1.9</v>
      </c>
      <c r="I42" s="171">
        <v>2.2000000000000002</v>
      </c>
      <c r="J42" s="171">
        <v>2.2000000000000002</v>
      </c>
      <c r="K42" s="171">
        <v>2.6</v>
      </c>
      <c r="L42" s="171">
        <v>2.2999999999999998</v>
      </c>
      <c r="M42" s="171">
        <v>3.2</v>
      </c>
      <c r="N42" s="171"/>
      <c r="O42" s="168">
        <f t="shared" si="4"/>
        <v>4762.9038469802217</v>
      </c>
      <c r="P42" s="168">
        <f t="shared" si="5"/>
        <v>1194.1823554394227</v>
      </c>
      <c r="Q42" s="168">
        <f t="shared" si="6"/>
        <v>2866.717487766904</v>
      </c>
      <c r="R42" s="136" t="s">
        <v>175</v>
      </c>
      <c r="S42" s="236">
        <v>1.9900000000000001E-2</v>
      </c>
      <c r="T42" s="179">
        <f t="shared" si="7"/>
        <v>94.781786554906418</v>
      </c>
      <c r="U42" s="179">
        <f t="shared" si="8"/>
        <v>23.764228873244512</v>
      </c>
      <c r="V42" s="179">
        <f t="shared" si="9"/>
        <v>57.047678006561391</v>
      </c>
    </row>
    <row r="43" spans="1:22" ht="15">
      <c r="A43" s="274" t="s">
        <v>153</v>
      </c>
      <c r="B43" s="174" t="s">
        <v>153</v>
      </c>
      <c r="D43" s="171">
        <v>0.3</v>
      </c>
      <c r="E43" s="171">
        <v>0.3</v>
      </c>
      <c r="F43" s="171">
        <v>0.5</v>
      </c>
      <c r="G43" s="171">
        <v>0.4</v>
      </c>
      <c r="H43" s="171">
        <v>0.3</v>
      </c>
      <c r="I43" s="171">
        <v>0.3</v>
      </c>
      <c r="J43" s="171">
        <v>0.4</v>
      </c>
      <c r="K43" s="171">
        <v>0.5</v>
      </c>
      <c r="L43" s="171">
        <v>0.5</v>
      </c>
      <c r="M43" s="171">
        <v>0.6</v>
      </c>
      <c r="N43" s="171"/>
      <c r="O43" s="168">
        <f t="shared" si="4"/>
        <v>1035.4138797783091</v>
      </c>
      <c r="P43" s="168">
        <f t="shared" si="5"/>
        <v>325.68609693802438</v>
      </c>
      <c r="Q43" s="168">
        <f t="shared" si="6"/>
        <v>754.39933888602741</v>
      </c>
      <c r="R43" s="136" t="s">
        <v>176</v>
      </c>
      <c r="S43" s="236">
        <v>1.6799999999999999E-2</v>
      </c>
      <c r="T43" s="179">
        <f t="shared" si="7"/>
        <v>17.394953180275593</v>
      </c>
      <c r="U43" s="179">
        <f t="shared" si="8"/>
        <v>5.4715264285588088</v>
      </c>
      <c r="V43" s="179">
        <f t="shared" si="9"/>
        <v>12.67390889328526</v>
      </c>
    </row>
    <row r="44" spans="1:22" ht="23.25">
      <c r="A44" s="274" t="s">
        <v>154</v>
      </c>
      <c r="B44" s="174" t="s">
        <v>154</v>
      </c>
      <c r="D44" s="171">
        <v>1.3</v>
      </c>
      <c r="E44" s="171">
        <v>1.4</v>
      </c>
      <c r="F44" s="171">
        <v>1.8</v>
      </c>
      <c r="G44" s="171">
        <v>2.2000000000000002</v>
      </c>
      <c r="H44" s="171">
        <v>2.5</v>
      </c>
      <c r="I44" s="171">
        <v>2.6</v>
      </c>
      <c r="J44" s="171">
        <v>2.8</v>
      </c>
      <c r="K44" s="171">
        <v>2.9</v>
      </c>
      <c r="L44" s="171">
        <v>2.9</v>
      </c>
      <c r="M44" s="171">
        <v>3.2</v>
      </c>
      <c r="N44" s="171"/>
      <c r="O44" s="168">
        <f t="shared" si="4"/>
        <v>6005.4005027141939</v>
      </c>
      <c r="P44" s="168">
        <f t="shared" si="5"/>
        <v>1519.8684523774471</v>
      </c>
      <c r="Q44" s="168">
        <f t="shared" si="6"/>
        <v>2715.8376199896989</v>
      </c>
      <c r="R44" s="136" t="s">
        <v>177</v>
      </c>
      <c r="S44" s="236">
        <v>2.2100000000000002E-2</v>
      </c>
      <c r="T44" s="179">
        <f t="shared" si="7"/>
        <v>132.71935110998371</v>
      </c>
      <c r="U44" s="179">
        <f t="shared" si="8"/>
        <v>33.589092797541582</v>
      </c>
      <c r="V44" s="179">
        <f t="shared" si="9"/>
        <v>60.020011401772351</v>
      </c>
    </row>
    <row r="45" spans="1:22" ht="15">
      <c r="A45" s="274" t="s">
        <v>155</v>
      </c>
      <c r="B45" s="174" t="s">
        <v>155</v>
      </c>
      <c r="D45" s="171" t="s">
        <v>139</v>
      </c>
      <c r="E45" s="171">
        <v>1.5</v>
      </c>
      <c r="F45" s="171">
        <v>2.4</v>
      </c>
      <c r="G45" s="171">
        <v>-0.3</v>
      </c>
      <c r="H45" s="171">
        <v>3.6</v>
      </c>
      <c r="I45" s="171">
        <v>3.1</v>
      </c>
      <c r="J45" s="171">
        <v>3.9</v>
      </c>
      <c r="K45" s="171">
        <v>5</v>
      </c>
      <c r="L45" s="171">
        <v>4.7</v>
      </c>
      <c r="M45" s="171">
        <v>4.3</v>
      </c>
      <c r="N45" s="171"/>
      <c r="O45" s="168">
        <f t="shared" si="4"/>
        <v>9732.8904699161067</v>
      </c>
      <c r="P45" s="168">
        <f t="shared" si="5"/>
        <v>1628.4304846901221</v>
      </c>
      <c r="Q45" s="168">
        <f t="shared" si="6"/>
        <v>3621.1168266529316</v>
      </c>
      <c r="R45" s="136">
        <v>711</v>
      </c>
      <c r="S45" s="236">
        <v>1.89E-2</v>
      </c>
      <c r="T45" s="179">
        <f t="shared" si="7"/>
        <v>183.95162988141442</v>
      </c>
      <c r="U45" s="179">
        <f t="shared" si="8"/>
        <v>30.777336160643308</v>
      </c>
      <c r="V45" s="179">
        <f t="shared" si="9"/>
        <v>68.439108023740403</v>
      </c>
    </row>
    <row r="46" spans="1:22" ht="45.75">
      <c r="A46" s="275" t="s">
        <v>156</v>
      </c>
      <c r="B46" s="170" t="s">
        <v>156</v>
      </c>
      <c r="D46" s="171" t="s">
        <v>139</v>
      </c>
      <c r="E46" s="171">
        <v>0.2</v>
      </c>
      <c r="F46" s="171">
        <v>0.5</v>
      </c>
      <c r="G46" s="171">
        <v>0.6</v>
      </c>
      <c r="H46" s="171">
        <v>0.6</v>
      </c>
      <c r="I46" s="171">
        <v>0.7</v>
      </c>
      <c r="J46" s="171">
        <v>0.7</v>
      </c>
      <c r="K46" s="171">
        <v>1</v>
      </c>
      <c r="L46" s="171">
        <v>1.2</v>
      </c>
      <c r="M46" s="171">
        <v>0.9</v>
      </c>
      <c r="N46" s="171"/>
      <c r="O46" s="168">
        <f t="shared" si="4"/>
        <v>2484.993311467942</v>
      </c>
      <c r="P46" s="168">
        <f t="shared" si="5"/>
        <v>217.1240646253496</v>
      </c>
      <c r="Q46" s="168">
        <f t="shared" si="6"/>
        <v>754.39933888602741</v>
      </c>
      <c r="R46" s="136">
        <v>713</v>
      </c>
      <c r="S46" s="236">
        <v>1.6299999999999999E-2</v>
      </c>
      <c r="T46" s="179">
        <f t="shared" si="7"/>
        <v>40.505390976927451</v>
      </c>
      <c r="U46" s="179">
        <f t="shared" si="8"/>
        <v>3.5391222533931983</v>
      </c>
      <c r="V46" s="179">
        <f t="shared" si="9"/>
        <v>12.296709223842246</v>
      </c>
    </row>
    <row r="47" spans="1:22" ht="15">
      <c r="A47" s="174" t="s">
        <v>157</v>
      </c>
      <c r="B47" s="174" t="s">
        <v>157</v>
      </c>
      <c r="D47" s="171">
        <v>4.8</v>
      </c>
      <c r="E47" s="171">
        <v>6.3</v>
      </c>
      <c r="F47" s="171">
        <v>7</v>
      </c>
      <c r="G47" s="171">
        <v>8.1999999999999993</v>
      </c>
      <c r="H47" s="171">
        <v>7.5</v>
      </c>
      <c r="I47" s="171">
        <v>9.6</v>
      </c>
      <c r="J47" s="171">
        <v>8.8000000000000007</v>
      </c>
      <c r="K47" s="171">
        <v>8.9</v>
      </c>
      <c r="L47" s="171">
        <v>8.6</v>
      </c>
      <c r="M47" s="171">
        <v>7.5</v>
      </c>
      <c r="N47" s="171"/>
      <c r="O47" s="168">
        <f t="shared" si="4"/>
        <v>17809.118732186918</v>
      </c>
      <c r="P47" s="168">
        <f t="shared" si="5"/>
        <v>6839.4080356985123</v>
      </c>
      <c r="Q47" s="168">
        <f t="shared" si="6"/>
        <v>10561.590744404382</v>
      </c>
      <c r="R47" s="136" t="s">
        <v>174</v>
      </c>
      <c r="S47" s="236"/>
      <c r="T47" s="179">
        <f t="shared" si="7"/>
        <v>0</v>
      </c>
      <c r="U47" s="179">
        <f t="shared" si="8"/>
        <v>0</v>
      </c>
      <c r="V47" s="179">
        <f t="shared" si="9"/>
        <v>0</v>
      </c>
    </row>
    <row r="48" spans="1:22" ht="34.5">
      <c r="A48" s="170" t="s">
        <v>158</v>
      </c>
      <c r="B48" s="170" t="s">
        <v>158</v>
      </c>
      <c r="D48" s="171">
        <v>0.5</v>
      </c>
      <c r="E48" s="171">
        <v>0.5</v>
      </c>
      <c r="F48" s="171">
        <v>0.7</v>
      </c>
      <c r="G48" s="171">
        <v>0.8</v>
      </c>
      <c r="H48" s="171">
        <v>0.7</v>
      </c>
      <c r="I48" s="171">
        <v>0.8</v>
      </c>
      <c r="J48" s="171">
        <v>0.8</v>
      </c>
      <c r="K48" s="171">
        <v>0.9</v>
      </c>
      <c r="L48" s="171">
        <v>0.8</v>
      </c>
      <c r="M48" s="171">
        <v>0.6</v>
      </c>
      <c r="N48" s="171"/>
      <c r="O48" s="168">
        <f t="shared" si="4"/>
        <v>1656.6622076452948</v>
      </c>
      <c r="P48" s="168">
        <f t="shared" si="5"/>
        <v>542.81016156337398</v>
      </c>
      <c r="Q48" s="168">
        <f t="shared" si="6"/>
        <v>1056.1590744404382</v>
      </c>
      <c r="R48" s="136">
        <v>126</v>
      </c>
      <c r="S48" s="236">
        <v>4.8999999999999998E-3</v>
      </c>
      <c r="T48" s="179">
        <f t="shared" si="7"/>
        <v>8.1176448174619438</v>
      </c>
      <c r="U48" s="179">
        <f t="shared" si="8"/>
        <v>2.6597697916605325</v>
      </c>
      <c r="V48" s="179">
        <f t="shared" si="9"/>
        <v>5.1751794647581466</v>
      </c>
    </row>
    <row r="49" spans="1:22" ht="45.75">
      <c r="A49" s="174" t="s">
        <v>159</v>
      </c>
      <c r="B49" s="174" t="s">
        <v>159</v>
      </c>
      <c r="D49" s="171">
        <v>0.2</v>
      </c>
      <c r="E49" s="171">
        <v>0.2</v>
      </c>
      <c r="F49" s="171">
        <v>0.2</v>
      </c>
      <c r="G49" s="171">
        <v>0.4</v>
      </c>
      <c r="H49" s="171">
        <v>0.2</v>
      </c>
      <c r="I49" s="171">
        <v>0.3</v>
      </c>
      <c r="J49" s="171">
        <v>0.4</v>
      </c>
      <c r="K49" s="171">
        <v>0.4</v>
      </c>
      <c r="L49" s="171">
        <v>0.4</v>
      </c>
      <c r="M49" s="171">
        <v>0.3</v>
      </c>
      <c r="N49" s="171"/>
      <c r="O49" s="168">
        <f t="shared" si="4"/>
        <v>828.33110382264738</v>
      </c>
      <c r="P49" s="168">
        <f t="shared" si="5"/>
        <v>217.1240646253496</v>
      </c>
      <c r="Q49" s="168">
        <f t="shared" si="6"/>
        <v>301.75973555441101</v>
      </c>
      <c r="R49" s="136" t="s">
        <v>174</v>
      </c>
      <c r="S49" s="236"/>
      <c r="T49" s="179">
        <f t="shared" si="7"/>
        <v>0</v>
      </c>
      <c r="U49" s="179">
        <f t="shared" si="8"/>
        <v>0</v>
      </c>
      <c r="V49" s="179">
        <f t="shared" si="9"/>
        <v>0</v>
      </c>
    </row>
    <row r="50" spans="1:22" ht="34.5">
      <c r="A50" s="176" t="s">
        <v>160</v>
      </c>
      <c r="B50" s="176" t="s">
        <v>160</v>
      </c>
      <c r="D50" s="171">
        <v>2.8</v>
      </c>
      <c r="E50" s="171">
        <v>2</v>
      </c>
      <c r="F50" s="171">
        <v>1.4</v>
      </c>
      <c r="G50" s="171">
        <v>1.4</v>
      </c>
      <c r="H50" s="171">
        <v>1.4</v>
      </c>
      <c r="I50" s="171">
        <v>1.4</v>
      </c>
      <c r="J50" s="171">
        <v>1.2</v>
      </c>
      <c r="K50" s="171">
        <v>1.1000000000000001</v>
      </c>
      <c r="L50" s="171">
        <v>1.4</v>
      </c>
      <c r="M50" s="171">
        <v>1.5</v>
      </c>
      <c r="N50" s="171"/>
      <c r="O50" s="168">
        <f t="shared" si="4"/>
        <v>2899.1588633792653</v>
      </c>
      <c r="P50" s="168">
        <f t="shared" si="5"/>
        <v>2171.2406462534959</v>
      </c>
      <c r="Q50" s="168">
        <f t="shared" si="6"/>
        <v>2112.3181488808764</v>
      </c>
      <c r="R50" s="136" t="s">
        <v>174</v>
      </c>
      <c r="S50" s="236"/>
      <c r="T50" s="179">
        <f t="shared" si="7"/>
        <v>0</v>
      </c>
      <c r="U50" s="179">
        <f t="shared" si="8"/>
        <v>0</v>
      </c>
      <c r="V50" s="179">
        <f t="shared" si="9"/>
        <v>0</v>
      </c>
    </row>
    <row r="51" spans="1:22" ht="23.25">
      <c r="A51" s="174" t="s">
        <v>161</v>
      </c>
      <c r="B51" s="174" t="s">
        <v>161</v>
      </c>
      <c r="D51" s="171">
        <v>0.3</v>
      </c>
      <c r="E51" s="171">
        <v>0.5</v>
      </c>
      <c r="F51" s="171">
        <v>0.9</v>
      </c>
      <c r="G51" s="171">
        <v>1.8</v>
      </c>
      <c r="H51" s="171">
        <v>1.3</v>
      </c>
      <c r="I51" s="171">
        <v>1</v>
      </c>
      <c r="J51" s="171">
        <v>0.9</v>
      </c>
      <c r="K51" s="171">
        <v>1.2</v>
      </c>
      <c r="L51" s="171">
        <v>1.2</v>
      </c>
      <c r="M51" s="171">
        <v>1.4</v>
      </c>
      <c r="N51" s="171"/>
      <c r="O51" s="168">
        <f t="shared" si="4"/>
        <v>2484.993311467942</v>
      </c>
      <c r="P51" s="168">
        <f t="shared" si="5"/>
        <v>542.81016156337398</v>
      </c>
      <c r="Q51" s="168">
        <f t="shared" si="6"/>
        <v>1357.9188099948494</v>
      </c>
      <c r="R51" s="136" t="s">
        <v>178</v>
      </c>
      <c r="S51" s="236">
        <v>0.01</v>
      </c>
      <c r="T51" s="179">
        <f t="shared" si="7"/>
        <v>24.84993311467942</v>
      </c>
      <c r="U51" s="179">
        <f t="shared" si="8"/>
        <v>5.4281016156337403</v>
      </c>
      <c r="V51" s="179">
        <f t="shared" si="9"/>
        <v>13.579188099948494</v>
      </c>
    </row>
    <row r="52" spans="1:22" ht="23.25">
      <c r="A52" s="174" t="s">
        <v>162</v>
      </c>
      <c r="B52" s="174" t="s">
        <v>162</v>
      </c>
      <c r="D52" s="171">
        <v>0.9</v>
      </c>
      <c r="E52" s="171">
        <v>1.1000000000000001</v>
      </c>
      <c r="F52" s="171">
        <v>1.3</v>
      </c>
      <c r="G52" s="171">
        <v>1.4</v>
      </c>
      <c r="H52" s="171">
        <v>1.2</v>
      </c>
      <c r="I52" s="171">
        <v>1.3</v>
      </c>
      <c r="J52" s="171">
        <v>1.1000000000000001</v>
      </c>
      <c r="K52" s="171">
        <v>1.3</v>
      </c>
      <c r="L52" s="171">
        <v>1.2</v>
      </c>
      <c r="M52" s="171">
        <v>1.2</v>
      </c>
      <c r="N52" s="171"/>
      <c r="O52" s="168">
        <f t="shared" si="4"/>
        <v>2484.993311467942</v>
      </c>
      <c r="P52" s="168">
        <f t="shared" si="5"/>
        <v>1194.1823554394227</v>
      </c>
      <c r="Q52" s="168">
        <f t="shared" si="6"/>
        <v>1961.4382811036712</v>
      </c>
      <c r="R52" s="136">
        <v>911</v>
      </c>
      <c r="S52" s="236">
        <v>1.17E-2</v>
      </c>
      <c r="T52" s="179">
        <f t="shared" si="7"/>
        <v>29.074421744174924</v>
      </c>
      <c r="U52" s="179">
        <f t="shared" si="8"/>
        <v>13.971933558641247</v>
      </c>
      <c r="V52" s="179">
        <f t="shared" si="9"/>
        <v>22.948827888912955</v>
      </c>
    </row>
    <row r="53" spans="1:22" ht="23.25">
      <c r="A53" s="274" t="s">
        <v>163</v>
      </c>
      <c r="B53" s="174" t="s">
        <v>163</v>
      </c>
      <c r="D53" s="171">
        <v>2.1</v>
      </c>
      <c r="E53" s="171">
        <v>1.3</v>
      </c>
      <c r="F53" s="171">
        <v>1.5</v>
      </c>
      <c r="G53" s="171">
        <v>1.7</v>
      </c>
      <c r="H53" s="171">
        <v>1.3</v>
      </c>
      <c r="I53" s="171">
        <v>1.8</v>
      </c>
      <c r="J53" s="171">
        <v>1.6</v>
      </c>
      <c r="K53" s="171">
        <v>2.1</v>
      </c>
      <c r="L53" s="171">
        <v>2.2999999999999998</v>
      </c>
      <c r="M53" s="171">
        <v>2.6</v>
      </c>
      <c r="N53" s="171"/>
      <c r="O53" s="168">
        <f t="shared" si="4"/>
        <v>4762.9038469802217</v>
      </c>
      <c r="P53" s="168">
        <f t="shared" si="5"/>
        <v>1411.3064200647725</v>
      </c>
      <c r="Q53" s="168">
        <f t="shared" si="6"/>
        <v>2263.198016658082</v>
      </c>
      <c r="R53" s="136">
        <v>932</v>
      </c>
      <c r="S53" s="236">
        <v>1.6899999999999998E-2</v>
      </c>
      <c r="T53" s="179">
        <f t="shared" si="7"/>
        <v>80.493075013965736</v>
      </c>
      <c r="U53" s="179">
        <f t="shared" si="8"/>
        <v>23.851078499094655</v>
      </c>
      <c r="V53" s="179">
        <f t="shared" si="9"/>
        <v>38.248046481521584</v>
      </c>
    </row>
    <row r="54" spans="1:22" ht="15">
      <c r="B54" s="174" t="s">
        <v>164</v>
      </c>
      <c r="D54" s="171">
        <v>0.4</v>
      </c>
      <c r="E54" s="171">
        <v>0.4</v>
      </c>
      <c r="F54" s="171">
        <v>0.4</v>
      </c>
      <c r="G54" s="171">
        <v>0.6</v>
      </c>
      <c r="H54" s="171">
        <v>0.5</v>
      </c>
      <c r="I54" s="171">
        <v>0.6</v>
      </c>
      <c r="J54" s="171">
        <v>0.7</v>
      </c>
      <c r="K54" s="171">
        <v>0.6</v>
      </c>
      <c r="L54" s="171">
        <v>0.6</v>
      </c>
      <c r="M54" s="171">
        <v>0.6</v>
      </c>
      <c r="N54" s="171"/>
      <c r="O54" s="168">
        <f t="shared" si="4"/>
        <v>1242.496655733971</v>
      </c>
      <c r="P54" s="168">
        <f t="shared" si="5"/>
        <v>434.24812925069921</v>
      </c>
      <c r="Q54" s="168">
        <f t="shared" si="6"/>
        <v>603.51947110882202</v>
      </c>
      <c r="R54" s="136">
        <v>912</v>
      </c>
      <c r="S54" s="236">
        <v>1.18E-2</v>
      </c>
      <c r="T54" s="179">
        <f t="shared" si="7"/>
        <v>14.661460537660858</v>
      </c>
      <c r="U54" s="179">
        <f t="shared" si="8"/>
        <v>5.1241279251582501</v>
      </c>
      <c r="V54" s="179">
        <f t="shared" si="9"/>
        <v>7.1215297590840994</v>
      </c>
    </row>
    <row r="55" spans="1:22" ht="15">
      <c r="B55" s="174" t="s">
        <v>165</v>
      </c>
      <c r="D55" s="171">
        <v>4.3</v>
      </c>
      <c r="E55" s="171">
        <v>2.2999999999999998</v>
      </c>
      <c r="F55" s="171">
        <v>3.5</v>
      </c>
      <c r="G55" s="171">
        <v>3.9</v>
      </c>
      <c r="H55" s="171">
        <v>4.0999999999999996</v>
      </c>
      <c r="I55" s="171">
        <v>4.3</v>
      </c>
      <c r="J55" s="171">
        <v>4.5999999999999996</v>
      </c>
      <c r="K55" s="171">
        <v>4.4000000000000004</v>
      </c>
      <c r="L55" s="171">
        <v>5.5</v>
      </c>
      <c r="M55" s="171">
        <v>6.3</v>
      </c>
      <c r="N55" s="171"/>
      <c r="O55" s="168">
        <f t="shared" si="4"/>
        <v>11389.552677561402</v>
      </c>
      <c r="P55" s="168">
        <f t="shared" si="5"/>
        <v>2496.92674319152</v>
      </c>
      <c r="Q55" s="168">
        <f t="shared" si="6"/>
        <v>5280.7953722021912</v>
      </c>
      <c r="R55" s="136" t="s">
        <v>174</v>
      </c>
      <c r="S55" s="236"/>
      <c r="T55" s="179">
        <f t="shared" si="7"/>
        <v>0</v>
      </c>
      <c r="U55" s="179">
        <f t="shared" si="8"/>
        <v>0</v>
      </c>
      <c r="V55" s="179">
        <f t="shared" si="9"/>
        <v>0</v>
      </c>
    </row>
    <row r="56" spans="1:22" ht="15">
      <c r="B56" s="174" t="s">
        <v>166</v>
      </c>
      <c r="D56" s="171">
        <v>2.2999999999999998</v>
      </c>
      <c r="E56" s="171">
        <v>3.1</v>
      </c>
      <c r="F56" s="171">
        <v>2.5</v>
      </c>
      <c r="G56" s="171">
        <v>2.7</v>
      </c>
      <c r="H56" s="171">
        <v>3</v>
      </c>
      <c r="I56" s="171">
        <v>2.9</v>
      </c>
      <c r="J56" s="171">
        <v>3.5</v>
      </c>
      <c r="K56" s="171">
        <v>3.3</v>
      </c>
      <c r="L56" s="171">
        <v>3</v>
      </c>
      <c r="M56" s="171">
        <v>3.2</v>
      </c>
      <c r="N56" s="171"/>
      <c r="O56" s="168">
        <f t="shared" si="4"/>
        <v>6212.4832786698544</v>
      </c>
      <c r="P56" s="168">
        <f t="shared" si="5"/>
        <v>3365.4230016929191</v>
      </c>
      <c r="Q56" s="168">
        <f t="shared" si="6"/>
        <v>3771.9966944301373</v>
      </c>
      <c r="R56" s="136">
        <v>941</v>
      </c>
      <c r="S56" s="237">
        <v>1.3599999999999999E-2</v>
      </c>
      <c r="T56" s="179">
        <f t="shared" si="7"/>
        <v>84.489772589910018</v>
      </c>
      <c r="U56" s="179">
        <f t="shared" si="8"/>
        <v>45.769752823023694</v>
      </c>
      <c r="V56" s="179">
        <f t="shared" si="9"/>
        <v>51.299155044249865</v>
      </c>
    </row>
    <row r="57" spans="1:22" ht="15">
      <c r="B57" s="174" t="s">
        <v>167</v>
      </c>
      <c r="D57" s="171">
        <v>0.6</v>
      </c>
      <c r="E57" s="171">
        <v>0.4</v>
      </c>
      <c r="F57" s="171">
        <v>0.3</v>
      </c>
      <c r="G57" s="171">
        <v>0.5</v>
      </c>
      <c r="H57" s="171">
        <v>0.4</v>
      </c>
      <c r="I57" s="171">
        <v>0.4</v>
      </c>
      <c r="J57" s="171">
        <v>0.4</v>
      </c>
      <c r="K57" s="171">
        <v>0.5</v>
      </c>
      <c r="L57" s="171">
        <v>0.5</v>
      </c>
      <c r="M57" s="171">
        <v>0.5</v>
      </c>
      <c r="N57" s="171"/>
      <c r="O57" s="168">
        <f t="shared" si="4"/>
        <v>1035.4138797783091</v>
      </c>
      <c r="P57" s="168">
        <f t="shared" si="5"/>
        <v>434.24812925069921</v>
      </c>
      <c r="Q57" s="168">
        <f t="shared" si="6"/>
        <v>452.63960333161646</v>
      </c>
      <c r="R57" s="136">
        <v>942</v>
      </c>
      <c r="S57" s="237">
        <v>1.4999999999999999E-2</v>
      </c>
      <c r="T57" s="179">
        <f t="shared" si="7"/>
        <v>15.531208196674637</v>
      </c>
      <c r="U57" s="179">
        <f t="shared" si="8"/>
        <v>6.5137219387604874</v>
      </c>
      <c r="V57" s="179">
        <f t="shared" si="9"/>
        <v>6.7895940499742462</v>
      </c>
    </row>
    <row r="58" spans="1:22" ht="15">
      <c r="B58" s="174" t="s">
        <v>168</v>
      </c>
      <c r="D58" s="171">
        <v>4</v>
      </c>
      <c r="E58" s="171">
        <v>4.0999999999999996</v>
      </c>
      <c r="F58" s="171">
        <v>4.0999999999999996</v>
      </c>
      <c r="G58" s="171">
        <v>3.9</v>
      </c>
      <c r="H58" s="171">
        <v>3.4</v>
      </c>
      <c r="I58" s="171">
        <v>3.7</v>
      </c>
      <c r="J58" s="171">
        <v>3.6</v>
      </c>
      <c r="K58" s="171">
        <v>3.3</v>
      </c>
      <c r="L58" s="171">
        <v>3.3</v>
      </c>
      <c r="M58" s="171">
        <v>2.9</v>
      </c>
      <c r="N58" s="171"/>
      <c r="O58" s="168">
        <f t="shared" si="4"/>
        <v>6833.7316065368404</v>
      </c>
      <c r="P58" s="168">
        <f t="shared" si="5"/>
        <v>4451.0433248196669</v>
      </c>
      <c r="Q58" s="168">
        <f t="shared" si="6"/>
        <v>6186.074578865424</v>
      </c>
      <c r="R58" s="136">
        <v>952</v>
      </c>
      <c r="S58" s="236">
        <v>1.5100000000000001E-2</v>
      </c>
      <c r="T58" s="179">
        <f t="shared" si="7"/>
        <v>103.18934725870629</v>
      </c>
      <c r="U58" s="179">
        <f t="shared" si="8"/>
        <v>67.210754204776975</v>
      </c>
      <c r="V58" s="179">
        <f t="shared" si="9"/>
        <v>93.409726140867903</v>
      </c>
    </row>
    <row r="59" spans="1:22" ht="15">
      <c r="B59" s="174" t="s">
        <v>169</v>
      </c>
      <c r="C59" s="153"/>
      <c r="D59" s="171">
        <v>1.6</v>
      </c>
      <c r="E59" s="171">
        <v>1</v>
      </c>
      <c r="F59" s="171">
        <v>1.3</v>
      </c>
      <c r="G59" s="171">
        <v>1.2</v>
      </c>
      <c r="H59" s="171">
        <v>1</v>
      </c>
      <c r="I59" s="171">
        <v>1.1000000000000001</v>
      </c>
      <c r="J59" s="171">
        <v>1</v>
      </c>
      <c r="K59" s="171">
        <v>0.9</v>
      </c>
      <c r="L59" s="171">
        <v>0.9</v>
      </c>
      <c r="M59" s="171">
        <v>0.6</v>
      </c>
      <c r="N59" s="171"/>
      <c r="O59" s="168">
        <f t="shared" si="4"/>
        <v>1863.7449836009566</v>
      </c>
      <c r="P59" s="168">
        <f t="shared" si="5"/>
        <v>1085.620323126748</v>
      </c>
      <c r="Q59" s="168">
        <f t="shared" si="6"/>
        <v>1961.4382811036712</v>
      </c>
      <c r="R59" s="136">
        <v>813</v>
      </c>
      <c r="S59" s="236">
        <v>8.5000000000000006E-3</v>
      </c>
      <c r="T59" s="179">
        <f t="shared" si="7"/>
        <v>15.841832360608132</v>
      </c>
      <c r="U59" s="179">
        <f t="shared" si="8"/>
        <v>9.227772746577358</v>
      </c>
      <c r="V59" s="179">
        <f t="shared" si="9"/>
        <v>16.672225389381207</v>
      </c>
    </row>
    <row r="60" spans="1:22" ht="15">
      <c r="B60" s="174" t="s">
        <v>170</v>
      </c>
      <c r="C60" s="153"/>
      <c r="D60" s="171">
        <v>1.7</v>
      </c>
      <c r="E60" s="171">
        <v>1.9</v>
      </c>
      <c r="F60" s="171">
        <v>1.7</v>
      </c>
      <c r="G60" s="171">
        <v>1.7</v>
      </c>
      <c r="H60" s="171">
        <v>1.2</v>
      </c>
      <c r="I60" s="171">
        <v>1.3</v>
      </c>
      <c r="J60" s="171">
        <v>1.3</v>
      </c>
      <c r="K60" s="171">
        <v>1.1000000000000001</v>
      </c>
      <c r="L60" s="171">
        <v>1</v>
      </c>
      <c r="M60" s="171">
        <v>0.9</v>
      </c>
      <c r="N60" s="171"/>
      <c r="O60" s="168">
        <f t="shared" si="4"/>
        <v>2070.8277595566183</v>
      </c>
      <c r="P60" s="168">
        <f t="shared" si="5"/>
        <v>2062.6786139408209</v>
      </c>
      <c r="Q60" s="168">
        <f t="shared" si="6"/>
        <v>2564.9577522124932</v>
      </c>
      <c r="R60" s="136">
        <v>813</v>
      </c>
      <c r="S60" s="236">
        <v>8.5000000000000006E-3</v>
      </c>
      <c r="T60" s="179">
        <f t="shared" si="7"/>
        <v>17.602035956231255</v>
      </c>
      <c r="U60" s="179">
        <f t="shared" si="8"/>
        <v>17.53276821849698</v>
      </c>
      <c r="V60" s="179">
        <f t="shared" si="9"/>
        <v>21.802140893806193</v>
      </c>
    </row>
    <row r="61" spans="1:22" s="132" customFormat="1">
      <c r="B61" s="161"/>
      <c r="C61" s="161"/>
      <c r="D61" s="161"/>
      <c r="E61" s="161"/>
      <c r="F61" s="161"/>
      <c r="G61" s="161"/>
      <c r="H61" s="161"/>
      <c r="I61" s="161"/>
      <c r="J61" s="161"/>
      <c r="K61" s="161"/>
      <c r="L61" s="161"/>
      <c r="M61" s="161"/>
      <c r="N61" s="161"/>
      <c r="O61" s="181">
        <f>SUM(O26:O60)</f>
        <v>170843.29016342101</v>
      </c>
      <c r="P61" s="181">
        <f t="shared" ref="P61:Q61" si="10">SUM(P26:P60)</f>
        <v>88803.742431767998</v>
      </c>
      <c r="Q61" s="181">
        <f t="shared" si="10"/>
        <v>122967.09223842247</v>
      </c>
      <c r="R61" s="180"/>
      <c r="S61" s="238">
        <f>SUM(S26:S60)</f>
        <v>0.39439999999999997</v>
      </c>
      <c r="T61" s="181">
        <f>SUM(T26:T60)</f>
        <v>1871.841920140823</v>
      </c>
      <c r="U61" s="181">
        <f t="shared" ref="U61:V61" si="11">SUM(U26:U60)</f>
        <v>1051.6295508096496</v>
      </c>
      <c r="V61" s="181">
        <f t="shared" si="11"/>
        <v>1442.7434716591943</v>
      </c>
    </row>
    <row r="63" spans="1:22">
      <c r="E63" s="245">
        <f>SUM(E26:E62)</f>
        <v>81.800000000000011</v>
      </c>
      <c r="F63" s="245">
        <f>SUM(F26:F62)</f>
        <v>81.499999999999986</v>
      </c>
      <c r="L63" s="245">
        <f>SUM(L26:L62)</f>
        <v>82.499999999999986</v>
      </c>
    </row>
    <row r="64" spans="1:22">
      <c r="Q64" s="239">
        <f>AVERAGE(S26:S60)</f>
        <v>1.3599999999999999E-2</v>
      </c>
    </row>
  </sheetData>
  <mergeCells count="14">
    <mergeCell ref="M2:M4"/>
    <mergeCell ref="R3:R4"/>
    <mergeCell ref="S3:S4"/>
    <mergeCell ref="B6:B8"/>
    <mergeCell ref="B1:M1"/>
    <mergeCell ref="D2:D4"/>
    <mergeCell ref="E2:E4"/>
    <mergeCell ref="F2:F4"/>
    <mergeCell ref="G2:G4"/>
    <mergeCell ref="H2:H4"/>
    <mergeCell ref="I2:I4"/>
    <mergeCell ref="J2:J4"/>
    <mergeCell ref="K2:K4"/>
    <mergeCell ref="L2:L4"/>
  </mergeCells>
  <conditionalFormatting sqref="S26:S60">
    <cfRule type="cellIs" dxfId="1" priority="1" operator="lessThan">
      <formula>0.015</formula>
    </cfRule>
  </conditionalFormatting>
  <pageMargins left="0.75" right="0.75" top="1" bottom="1" header="0.5" footer="0.5"/>
  <pageSetup paperSize="9" orientation="landscape" r:id="rId1"/>
  <headerFooter alignWithMargins="0"/>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W70"/>
  <sheetViews>
    <sheetView topLeftCell="C46" zoomScaleNormal="100" workbookViewId="0">
      <selection activeCell="U67" sqref="S67:U67"/>
    </sheetView>
  </sheetViews>
  <sheetFormatPr defaultRowHeight="12.75"/>
  <cols>
    <col min="1" max="1" width="33.5703125" style="155" customWidth="1"/>
    <col min="2" max="2" width="0.42578125" style="155" hidden="1" customWidth="1"/>
    <col min="3" max="3" width="6.42578125" style="155" customWidth="1"/>
    <col min="4" max="4" width="6.85546875" style="155" customWidth="1"/>
    <col min="5" max="5" width="6.42578125" style="155" customWidth="1"/>
    <col min="6" max="6" width="6.85546875" style="155" customWidth="1"/>
    <col min="7" max="7" width="6.28515625" style="155" customWidth="1"/>
    <col min="8" max="8" width="6.42578125" style="155" customWidth="1"/>
    <col min="9" max="9" width="6.7109375" style="155" customWidth="1"/>
    <col min="10" max="10" width="6.85546875" style="155" customWidth="1"/>
    <col min="11" max="12" width="6.5703125" style="155" customWidth="1"/>
    <col min="13" max="13" width="11.85546875" style="155" customWidth="1"/>
    <col min="14" max="14" width="10" style="110" customWidth="1"/>
    <col min="15" max="15" width="12.7109375" style="110" customWidth="1"/>
    <col min="16" max="16" width="15.7109375" style="110" customWidth="1"/>
    <col min="17" max="18" width="9.140625" style="136"/>
    <col min="19" max="20" width="9.5703125" style="110" bestFit="1" customWidth="1"/>
    <col min="21" max="21" width="13.140625" style="110" customWidth="1"/>
    <col min="22" max="251" width="9.140625" style="110"/>
    <col min="252" max="252" width="33.5703125" style="110" customWidth="1"/>
    <col min="253" max="253" width="0" style="110" hidden="1" customWidth="1"/>
    <col min="254" max="263" width="10.140625" style="110" customWidth="1"/>
    <col min="264" max="264" width="10" style="110" customWidth="1"/>
    <col min="265" max="265" width="10.85546875" style="110" customWidth="1"/>
    <col min="266" max="266" width="10" style="110" customWidth="1"/>
    <col min="267" max="267" width="11.85546875" style="110" customWidth="1"/>
    <col min="268" max="268" width="14.42578125" style="110" customWidth="1"/>
    <col min="269" max="507" width="9.140625" style="110"/>
    <col min="508" max="508" width="33.5703125" style="110" customWidth="1"/>
    <col min="509" max="509" width="0" style="110" hidden="1" customWidth="1"/>
    <col min="510" max="519" width="10.140625" style="110" customWidth="1"/>
    <col min="520" max="520" width="10" style="110" customWidth="1"/>
    <col min="521" max="521" width="10.85546875" style="110" customWidth="1"/>
    <col min="522" max="522" width="10" style="110" customWidth="1"/>
    <col min="523" max="523" width="11.85546875" style="110" customWidth="1"/>
    <col min="524" max="524" width="14.42578125" style="110" customWidth="1"/>
    <col min="525" max="763" width="9.140625" style="110"/>
    <col min="764" max="764" width="33.5703125" style="110" customWidth="1"/>
    <col min="765" max="765" width="0" style="110" hidden="1" customWidth="1"/>
    <col min="766" max="775" width="10.140625" style="110" customWidth="1"/>
    <col min="776" max="776" width="10" style="110" customWidth="1"/>
    <col min="777" max="777" width="10.85546875" style="110" customWidth="1"/>
    <col min="778" max="778" width="10" style="110" customWidth="1"/>
    <col min="779" max="779" width="11.85546875" style="110" customWidth="1"/>
    <col min="780" max="780" width="14.42578125" style="110" customWidth="1"/>
    <col min="781" max="1019" width="9.140625" style="110"/>
    <col min="1020" max="1020" width="33.5703125" style="110" customWidth="1"/>
    <col min="1021" max="1021" width="0" style="110" hidden="1" customWidth="1"/>
    <col min="1022" max="1031" width="10.140625" style="110" customWidth="1"/>
    <col min="1032" max="1032" width="10" style="110" customWidth="1"/>
    <col min="1033" max="1033" width="10.85546875" style="110" customWidth="1"/>
    <col min="1034" max="1034" width="10" style="110" customWidth="1"/>
    <col min="1035" max="1035" width="11.85546875" style="110" customWidth="1"/>
    <col min="1036" max="1036" width="14.42578125" style="110" customWidth="1"/>
    <col min="1037" max="1275" width="9.140625" style="110"/>
    <col min="1276" max="1276" width="33.5703125" style="110" customWidth="1"/>
    <col min="1277" max="1277" width="0" style="110" hidden="1" customWidth="1"/>
    <col min="1278" max="1287" width="10.140625" style="110" customWidth="1"/>
    <col min="1288" max="1288" width="10" style="110" customWidth="1"/>
    <col min="1289" max="1289" width="10.85546875" style="110" customWidth="1"/>
    <col min="1290" max="1290" width="10" style="110" customWidth="1"/>
    <col min="1291" max="1291" width="11.85546875" style="110" customWidth="1"/>
    <col min="1292" max="1292" width="14.42578125" style="110" customWidth="1"/>
    <col min="1293" max="1531" width="9.140625" style="110"/>
    <col min="1532" max="1532" width="33.5703125" style="110" customWidth="1"/>
    <col min="1533" max="1533" width="0" style="110" hidden="1" customWidth="1"/>
    <col min="1534" max="1543" width="10.140625" style="110" customWidth="1"/>
    <col min="1544" max="1544" width="10" style="110" customWidth="1"/>
    <col min="1545" max="1545" width="10.85546875" style="110" customWidth="1"/>
    <col min="1546" max="1546" width="10" style="110" customWidth="1"/>
    <col min="1547" max="1547" width="11.85546875" style="110" customWidth="1"/>
    <col min="1548" max="1548" width="14.42578125" style="110" customWidth="1"/>
    <col min="1549" max="1787" width="9.140625" style="110"/>
    <col min="1788" max="1788" width="33.5703125" style="110" customWidth="1"/>
    <col min="1789" max="1789" width="0" style="110" hidden="1" customWidth="1"/>
    <col min="1790" max="1799" width="10.140625" style="110" customWidth="1"/>
    <col min="1800" max="1800" width="10" style="110" customWidth="1"/>
    <col min="1801" max="1801" width="10.85546875" style="110" customWidth="1"/>
    <col min="1802" max="1802" width="10" style="110" customWidth="1"/>
    <col min="1803" max="1803" width="11.85546875" style="110" customWidth="1"/>
    <col min="1804" max="1804" width="14.42578125" style="110" customWidth="1"/>
    <col min="1805" max="2043" width="9.140625" style="110"/>
    <col min="2044" max="2044" width="33.5703125" style="110" customWidth="1"/>
    <col min="2045" max="2045" width="0" style="110" hidden="1" customWidth="1"/>
    <col min="2046" max="2055" width="10.140625" style="110" customWidth="1"/>
    <col min="2056" max="2056" width="10" style="110" customWidth="1"/>
    <col min="2057" max="2057" width="10.85546875" style="110" customWidth="1"/>
    <col min="2058" max="2058" width="10" style="110" customWidth="1"/>
    <col min="2059" max="2059" width="11.85546875" style="110" customWidth="1"/>
    <col min="2060" max="2060" width="14.42578125" style="110" customWidth="1"/>
    <col min="2061" max="2299" width="9.140625" style="110"/>
    <col min="2300" max="2300" width="33.5703125" style="110" customWidth="1"/>
    <col min="2301" max="2301" width="0" style="110" hidden="1" customWidth="1"/>
    <col min="2302" max="2311" width="10.140625" style="110" customWidth="1"/>
    <col min="2312" max="2312" width="10" style="110" customWidth="1"/>
    <col min="2313" max="2313" width="10.85546875" style="110" customWidth="1"/>
    <col min="2314" max="2314" width="10" style="110" customWidth="1"/>
    <col min="2315" max="2315" width="11.85546875" style="110" customWidth="1"/>
    <col min="2316" max="2316" width="14.42578125" style="110" customWidth="1"/>
    <col min="2317" max="2555" width="9.140625" style="110"/>
    <col min="2556" max="2556" width="33.5703125" style="110" customWidth="1"/>
    <col min="2557" max="2557" width="0" style="110" hidden="1" customWidth="1"/>
    <col min="2558" max="2567" width="10.140625" style="110" customWidth="1"/>
    <col min="2568" max="2568" width="10" style="110" customWidth="1"/>
    <col min="2569" max="2569" width="10.85546875" style="110" customWidth="1"/>
    <col min="2570" max="2570" width="10" style="110" customWidth="1"/>
    <col min="2571" max="2571" width="11.85546875" style="110" customWidth="1"/>
    <col min="2572" max="2572" width="14.42578125" style="110" customWidth="1"/>
    <col min="2573" max="2811" width="9.140625" style="110"/>
    <col min="2812" max="2812" width="33.5703125" style="110" customWidth="1"/>
    <col min="2813" max="2813" width="0" style="110" hidden="1" customWidth="1"/>
    <col min="2814" max="2823" width="10.140625" style="110" customWidth="1"/>
    <col min="2824" max="2824" width="10" style="110" customWidth="1"/>
    <col min="2825" max="2825" width="10.85546875" style="110" customWidth="1"/>
    <col min="2826" max="2826" width="10" style="110" customWidth="1"/>
    <col min="2827" max="2827" width="11.85546875" style="110" customWidth="1"/>
    <col min="2828" max="2828" width="14.42578125" style="110" customWidth="1"/>
    <col min="2829" max="3067" width="9.140625" style="110"/>
    <col min="3068" max="3068" width="33.5703125" style="110" customWidth="1"/>
    <col min="3069" max="3069" width="0" style="110" hidden="1" customWidth="1"/>
    <col min="3070" max="3079" width="10.140625" style="110" customWidth="1"/>
    <col min="3080" max="3080" width="10" style="110" customWidth="1"/>
    <col min="3081" max="3081" width="10.85546875" style="110" customWidth="1"/>
    <col min="3082" max="3082" width="10" style="110" customWidth="1"/>
    <col min="3083" max="3083" width="11.85546875" style="110" customWidth="1"/>
    <col min="3084" max="3084" width="14.42578125" style="110" customWidth="1"/>
    <col min="3085" max="3323" width="9.140625" style="110"/>
    <col min="3324" max="3324" width="33.5703125" style="110" customWidth="1"/>
    <col min="3325" max="3325" width="0" style="110" hidden="1" customWidth="1"/>
    <col min="3326" max="3335" width="10.140625" style="110" customWidth="1"/>
    <col min="3336" max="3336" width="10" style="110" customWidth="1"/>
    <col min="3337" max="3337" width="10.85546875" style="110" customWidth="1"/>
    <col min="3338" max="3338" width="10" style="110" customWidth="1"/>
    <col min="3339" max="3339" width="11.85546875" style="110" customWidth="1"/>
    <col min="3340" max="3340" width="14.42578125" style="110" customWidth="1"/>
    <col min="3341" max="3579" width="9.140625" style="110"/>
    <col min="3580" max="3580" width="33.5703125" style="110" customWidth="1"/>
    <col min="3581" max="3581" width="0" style="110" hidden="1" customWidth="1"/>
    <col min="3582" max="3591" width="10.140625" style="110" customWidth="1"/>
    <col min="3592" max="3592" width="10" style="110" customWidth="1"/>
    <col min="3593" max="3593" width="10.85546875" style="110" customWidth="1"/>
    <col min="3594" max="3594" width="10" style="110" customWidth="1"/>
    <col min="3595" max="3595" width="11.85546875" style="110" customWidth="1"/>
    <col min="3596" max="3596" width="14.42578125" style="110" customWidth="1"/>
    <col min="3597" max="3835" width="9.140625" style="110"/>
    <col min="3836" max="3836" width="33.5703125" style="110" customWidth="1"/>
    <col min="3837" max="3837" width="0" style="110" hidden="1" customWidth="1"/>
    <col min="3838" max="3847" width="10.140625" style="110" customWidth="1"/>
    <col min="3848" max="3848" width="10" style="110" customWidth="1"/>
    <col min="3849" max="3849" width="10.85546875" style="110" customWidth="1"/>
    <col min="3850" max="3850" width="10" style="110" customWidth="1"/>
    <col min="3851" max="3851" width="11.85546875" style="110" customWidth="1"/>
    <col min="3852" max="3852" width="14.42578125" style="110" customWidth="1"/>
    <col min="3853" max="4091" width="9.140625" style="110"/>
    <col min="4092" max="4092" width="33.5703125" style="110" customWidth="1"/>
    <col min="4093" max="4093" width="0" style="110" hidden="1" customWidth="1"/>
    <col min="4094" max="4103" width="10.140625" style="110" customWidth="1"/>
    <col min="4104" max="4104" width="10" style="110" customWidth="1"/>
    <col min="4105" max="4105" width="10.85546875" style="110" customWidth="1"/>
    <col min="4106" max="4106" width="10" style="110" customWidth="1"/>
    <col min="4107" max="4107" width="11.85546875" style="110" customWidth="1"/>
    <col min="4108" max="4108" width="14.42578125" style="110" customWidth="1"/>
    <col min="4109" max="4347" width="9.140625" style="110"/>
    <col min="4348" max="4348" width="33.5703125" style="110" customWidth="1"/>
    <col min="4349" max="4349" width="0" style="110" hidden="1" customWidth="1"/>
    <col min="4350" max="4359" width="10.140625" style="110" customWidth="1"/>
    <col min="4360" max="4360" width="10" style="110" customWidth="1"/>
    <col min="4361" max="4361" width="10.85546875" style="110" customWidth="1"/>
    <col min="4362" max="4362" width="10" style="110" customWidth="1"/>
    <col min="4363" max="4363" width="11.85546875" style="110" customWidth="1"/>
    <col min="4364" max="4364" width="14.42578125" style="110" customWidth="1"/>
    <col min="4365" max="4603" width="9.140625" style="110"/>
    <col min="4604" max="4604" width="33.5703125" style="110" customWidth="1"/>
    <col min="4605" max="4605" width="0" style="110" hidden="1" customWidth="1"/>
    <col min="4606" max="4615" width="10.140625" style="110" customWidth="1"/>
    <col min="4616" max="4616" width="10" style="110" customWidth="1"/>
    <col min="4617" max="4617" width="10.85546875" style="110" customWidth="1"/>
    <col min="4618" max="4618" width="10" style="110" customWidth="1"/>
    <col min="4619" max="4619" width="11.85546875" style="110" customWidth="1"/>
    <col min="4620" max="4620" width="14.42578125" style="110" customWidth="1"/>
    <col min="4621" max="4859" width="9.140625" style="110"/>
    <col min="4860" max="4860" width="33.5703125" style="110" customWidth="1"/>
    <col min="4861" max="4861" width="0" style="110" hidden="1" customWidth="1"/>
    <col min="4862" max="4871" width="10.140625" style="110" customWidth="1"/>
    <col min="4872" max="4872" width="10" style="110" customWidth="1"/>
    <col min="4873" max="4873" width="10.85546875" style="110" customWidth="1"/>
    <col min="4874" max="4874" width="10" style="110" customWidth="1"/>
    <col min="4875" max="4875" width="11.85546875" style="110" customWidth="1"/>
    <col min="4876" max="4876" width="14.42578125" style="110" customWidth="1"/>
    <col min="4877" max="5115" width="9.140625" style="110"/>
    <col min="5116" max="5116" width="33.5703125" style="110" customWidth="1"/>
    <col min="5117" max="5117" width="0" style="110" hidden="1" customWidth="1"/>
    <col min="5118" max="5127" width="10.140625" style="110" customWidth="1"/>
    <col min="5128" max="5128" width="10" style="110" customWidth="1"/>
    <col min="5129" max="5129" width="10.85546875" style="110" customWidth="1"/>
    <col min="5130" max="5130" width="10" style="110" customWidth="1"/>
    <col min="5131" max="5131" width="11.85546875" style="110" customWidth="1"/>
    <col min="5132" max="5132" width="14.42578125" style="110" customWidth="1"/>
    <col min="5133" max="5371" width="9.140625" style="110"/>
    <col min="5372" max="5372" width="33.5703125" style="110" customWidth="1"/>
    <col min="5373" max="5373" width="0" style="110" hidden="1" customWidth="1"/>
    <col min="5374" max="5383" width="10.140625" style="110" customWidth="1"/>
    <col min="5384" max="5384" width="10" style="110" customWidth="1"/>
    <col min="5385" max="5385" width="10.85546875" style="110" customWidth="1"/>
    <col min="5386" max="5386" width="10" style="110" customWidth="1"/>
    <col min="5387" max="5387" width="11.85546875" style="110" customWidth="1"/>
    <col min="5388" max="5388" width="14.42578125" style="110" customWidth="1"/>
    <col min="5389" max="5627" width="9.140625" style="110"/>
    <col min="5628" max="5628" width="33.5703125" style="110" customWidth="1"/>
    <col min="5629" max="5629" width="0" style="110" hidden="1" customWidth="1"/>
    <col min="5630" max="5639" width="10.140625" style="110" customWidth="1"/>
    <col min="5640" max="5640" width="10" style="110" customWidth="1"/>
    <col min="5641" max="5641" width="10.85546875" style="110" customWidth="1"/>
    <col min="5642" max="5642" width="10" style="110" customWidth="1"/>
    <col min="5643" max="5643" width="11.85546875" style="110" customWidth="1"/>
    <col min="5644" max="5644" width="14.42578125" style="110" customWidth="1"/>
    <col min="5645" max="5883" width="9.140625" style="110"/>
    <col min="5884" max="5884" width="33.5703125" style="110" customWidth="1"/>
    <col min="5885" max="5885" width="0" style="110" hidden="1" customWidth="1"/>
    <col min="5886" max="5895" width="10.140625" style="110" customWidth="1"/>
    <col min="5896" max="5896" width="10" style="110" customWidth="1"/>
    <col min="5897" max="5897" width="10.85546875" style="110" customWidth="1"/>
    <col min="5898" max="5898" width="10" style="110" customWidth="1"/>
    <col min="5899" max="5899" width="11.85546875" style="110" customWidth="1"/>
    <col min="5900" max="5900" width="14.42578125" style="110" customWidth="1"/>
    <col min="5901" max="6139" width="9.140625" style="110"/>
    <col min="6140" max="6140" width="33.5703125" style="110" customWidth="1"/>
    <col min="6141" max="6141" width="0" style="110" hidden="1" customWidth="1"/>
    <col min="6142" max="6151" width="10.140625" style="110" customWidth="1"/>
    <col min="6152" max="6152" width="10" style="110" customWidth="1"/>
    <col min="6153" max="6153" width="10.85546875" style="110" customWidth="1"/>
    <col min="6154" max="6154" width="10" style="110" customWidth="1"/>
    <col min="6155" max="6155" width="11.85546875" style="110" customWidth="1"/>
    <col min="6156" max="6156" width="14.42578125" style="110" customWidth="1"/>
    <col min="6157" max="6395" width="9.140625" style="110"/>
    <col min="6396" max="6396" width="33.5703125" style="110" customWidth="1"/>
    <col min="6397" max="6397" width="0" style="110" hidden="1" customWidth="1"/>
    <col min="6398" max="6407" width="10.140625" style="110" customWidth="1"/>
    <col min="6408" max="6408" width="10" style="110" customWidth="1"/>
    <col min="6409" max="6409" width="10.85546875" style="110" customWidth="1"/>
    <col min="6410" max="6410" width="10" style="110" customWidth="1"/>
    <col min="6411" max="6411" width="11.85546875" style="110" customWidth="1"/>
    <col min="6412" max="6412" width="14.42578125" style="110" customWidth="1"/>
    <col min="6413" max="6651" width="9.140625" style="110"/>
    <col min="6652" max="6652" width="33.5703125" style="110" customWidth="1"/>
    <col min="6653" max="6653" width="0" style="110" hidden="1" customWidth="1"/>
    <col min="6654" max="6663" width="10.140625" style="110" customWidth="1"/>
    <col min="6664" max="6664" width="10" style="110" customWidth="1"/>
    <col min="6665" max="6665" width="10.85546875" style="110" customWidth="1"/>
    <col min="6666" max="6666" width="10" style="110" customWidth="1"/>
    <col min="6667" max="6667" width="11.85546875" style="110" customWidth="1"/>
    <col min="6668" max="6668" width="14.42578125" style="110" customWidth="1"/>
    <col min="6669" max="6907" width="9.140625" style="110"/>
    <col min="6908" max="6908" width="33.5703125" style="110" customWidth="1"/>
    <col min="6909" max="6909" width="0" style="110" hidden="1" customWidth="1"/>
    <col min="6910" max="6919" width="10.140625" style="110" customWidth="1"/>
    <col min="6920" max="6920" width="10" style="110" customWidth="1"/>
    <col min="6921" max="6921" width="10.85546875" style="110" customWidth="1"/>
    <col min="6922" max="6922" width="10" style="110" customWidth="1"/>
    <col min="6923" max="6923" width="11.85546875" style="110" customWidth="1"/>
    <col min="6924" max="6924" width="14.42578125" style="110" customWidth="1"/>
    <col min="6925" max="7163" width="9.140625" style="110"/>
    <col min="7164" max="7164" width="33.5703125" style="110" customWidth="1"/>
    <col min="7165" max="7165" width="0" style="110" hidden="1" customWidth="1"/>
    <col min="7166" max="7175" width="10.140625" style="110" customWidth="1"/>
    <col min="7176" max="7176" width="10" style="110" customWidth="1"/>
    <col min="7177" max="7177" width="10.85546875" style="110" customWidth="1"/>
    <col min="7178" max="7178" width="10" style="110" customWidth="1"/>
    <col min="7179" max="7179" width="11.85546875" style="110" customWidth="1"/>
    <col min="7180" max="7180" width="14.42578125" style="110" customWidth="1"/>
    <col min="7181" max="7419" width="9.140625" style="110"/>
    <col min="7420" max="7420" width="33.5703125" style="110" customWidth="1"/>
    <col min="7421" max="7421" width="0" style="110" hidden="1" customWidth="1"/>
    <col min="7422" max="7431" width="10.140625" style="110" customWidth="1"/>
    <col min="7432" max="7432" width="10" style="110" customWidth="1"/>
    <col min="7433" max="7433" width="10.85546875" style="110" customWidth="1"/>
    <col min="7434" max="7434" width="10" style="110" customWidth="1"/>
    <col min="7435" max="7435" width="11.85546875" style="110" customWidth="1"/>
    <col min="7436" max="7436" width="14.42578125" style="110" customWidth="1"/>
    <col min="7437" max="7675" width="9.140625" style="110"/>
    <col min="7676" max="7676" width="33.5703125" style="110" customWidth="1"/>
    <col min="7677" max="7677" width="0" style="110" hidden="1" customWidth="1"/>
    <col min="7678" max="7687" width="10.140625" style="110" customWidth="1"/>
    <col min="7688" max="7688" width="10" style="110" customWidth="1"/>
    <col min="7689" max="7689" width="10.85546875" style="110" customWidth="1"/>
    <col min="7690" max="7690" width="10" style="110" customWidth="1"/>
    <col min="7691" max="7691" width="11.85546875" style="110" customWidth="1"/>
    <col min="7692" max="7692" width="14.42578125" style="110" customWidth="1"/>
    <col min="7693" max="7931" width="9.140625" style="110"/>
    <col min="7932" max="7932" width="33.5703125" style="110" customWidth="1"/>
    <col min="7933" max="7933" width="0" style="110" hidden="1" customWidth="1"/>
    <col min="7934" max="7943" width="10.140625" style="110" customWidth="1"/>
    <col min="7944" max="7944" width="10" style="110" customWidth="1"/>
    <col min="7945" max="7945" width="10.85546875" style="110" customWidth="1"/>
    <col min="7946" max="7946" width="10" style="110" customWidth="1"/>
    <col min="7947" max="7947" width="11.85546875" style="110" customWidth="1"/>
    <col min="7948" max="7948" width="14.42578125" style="110" customWidth="1"/>
    <col min="7949" max="8187" width="9.140625" style="110"/>
    <col min="8188" max="8188" width="33.5703125" style="110" customWidth="1"/>
    <col min="8189" max="8189" width="0" style="110" hidden="1" customWidth="1"/>
    <col min="8190" max="8199" width="10.140625" style="110" customWidth="1"/>
    <col min="8200" max="8200" width="10" style="110" customWidth="1"/>
    <col min="8201" max="8201" width="10.85546875" style="110" customWidth="1"/>
    <col min="8202" max="8202" width="10" style="110" customWidth="1"/>
    <col min="8203" max="8203" width="11.85546875" style="110" customWidth="1"/>
    <col min="8204" max="8204" width="14.42578125" style="110" customWidth="1"/>
    <col min="8205" max="8443" width="9.140625" style="110"/>
    <col min="8444" max="8444" width="33.5703125" style="110" customWidth="1"/>
    <col min="8445" max="8445" width="0" style="110" hidden="1" customWidth="1"/>
    <col min="8446" max="8455" width="10.140625" style="110" customWidth="1"/>
    <col min="8456" max="8456" width="10" style="110" customWidth="1"/>
    <col min="8457" max="8457" width="10.85546875" style="110" customWidth="1"/>
    <col min="8458" max="8458" width="10" style="110" customWidth="1"/>
    <col min="8459" max="8459" width="11.85546875" style="110" customWidth="1"/>
    <col min="8460" max="8460" width="14.42578125" style="110" customWidth="1"/>
    <col min="8461" max="8699" width="9.140625" style="110"/>
    <col min="8700" max="8700" width="33.5703125" style="110" customWidth="1"/>
    <col min="8701" max="8701" width="0" style="110" hidden="1" customWidth="1"/>
    <col min="8702" max="8711" width="10.140625" style="110" customWidth="1"/>
    <col min="8712" max="8712" width="10" style="110" customWidth="1"/>
    <col min="8713" max="8713" width="10.85546875" style="110" customWidth="1"/>
    <col min="8714" max="8714" width="10" style="110" customWidth="1"/>
    <col min="8715" max="8715" width="11.85546875" style="110" customWidth="1"/>
    <col min="8716" max="8716" width="14.42578125" style="110" customWidth="1"/>
    <col min="8717" max="8955" width="9.140625" style="110"/>
    <col min="8956" max="8956" width="33.5703125" style="110" customWidth="1"/>
    <col min="8957" max="8957" width="0" style="110" hidden="1" customWidth="1"/>
    <col min="8958" max="8967" width="10.140625" style="110" customWidth="1"/>
    <col min="8968" max="8968" width="10" style="110" customWidth="1"/>
    <col min="8969" max="8969" width="10.85546875" style="110" customWidth="1"/>
    <col min="8970" max="8970" width="10" style="110" customWidth="1"/>
    <col min="8971" max="8971" width="11.85546875" style="110" customWidth="1"/>
    <col min="8972" max="8972" width="14.42578125" style="110" customWidth="1"/>
    <col min="8973" max="9211" width="9.140625" style="110"/>
    <col min="9212" max="9212" width="33.5703125" style="110" customWidth="1"/>
    <col min="9213" max="9213" width="0" style="110" hidden="1" customWidth="1"/>
    <col min="9214" max="9223" width="10.140625" style="110" customWidth="1"/>
    <col min="9224" max="9224" width="10" style="110" customWidth="1"/>
    <col min="9225" max="9225" width="10.85546875" style="110" customWidth="1"/>
    <col min="9226" max="9226" width="10" style="110" customWidth="1"/>
    <col min="9227" max="9227" width="11.85546875" style="110" customWidth="1"/>
    <col min="9228" max="9228" width="14.42578125" style="110" customWidth="1"/>
    <col min="9229" max="9467" width="9.140625" style="110"/>
    <col min="9468" max="9468" width="33.5703125" style="110" customWidth="1"/>
    <col min="9469" max="9469" width="0" style="110" hidden="1" customWidth="1"/>
    <col min="9470" max="9479" width="10.140625" style="110" customWidth="1"/>
    <col min="9480" max="9480" width="10" style="110" customWidth="1"/>
    <col min="9481" max="9481" width="10.85546875" style="110" customWidth="1"/>
    <col min="9482" max="9482" width="10" style="110" customWidth="1"/>
    <col min="9483" max="9483" width="11.85546875" style="110" customWidth="1"/>
    <col min="9484" max="9484" width="14.42578125" style="110" customWidth="1"/>
    <col min="9485" max="9723" width="9.140625" style="110"/>
    <col min="9724" max="9724" width="33.5703125" style="110" customWidth="1"/>
    <col min="9725" max="9725" width="0" style="110" hidden="1" customWidth="1"/>
    <col min="9726" max="9735" width="10.140625" style="110" customWidth="1"/>
    <col min="9736" max="9736" width="10" style="110" customWidth="1"/>
    <col min="9737" max="9737" width="10.85546875" style="110" customWidth="1"/>
    <col min="9738" max="9738" width="10" style="110" customWidth="1"/>
    <col min="9739" max="9739" width="11.85546875" style="110" customWidth="1"/>
    <col min="9740" max="9740" width="14.42578125" style="110" customWidth="1"/>
    <col min="9741" max="9979" width="9.140625" style="110"/>
    <col min="9980" max="9980" width="33.5703125" style="110" customWidth="1"/>
    <col min="9981" max="9981" width="0" style="110" hidden="1" customWidth="1"/>
    <col min="9982" max="9991" width="10.140625" style="110" customWidth="1"/>
    <col min="9992" max="9992" width="10" style="110" customWidth="1"/>
    <col min="9993" max="9993" width="10.85546875" style="110" customWidth="1"/>
    <col min="9994" max="9994" width="10" style="110" customWidth="1"/>
    <col min="9995" max="9995" width="11.85546875" style="110" customWidth="1"/>
    <col min="9996" max="9996" width="14.42578125" style="110" customWidth="1"/>
    <col min="9997" max="10235" width="9.140625" style="110"/>
    <col min="10236" max="10236" width="33.5703125" style="110" customWidth="1"/>
    <col min="10237" max="10237" width="0" style="110" hidden="1" customWidth="1"/>
    <col min="10238" max="10247" width="10.140625" style="110" customWidth="1"/>
    <col min="10248" max="10248" width="10" style="110" customWidth="1"/>
    <col min="10249" max="10249" width="10.85546875" style="110" customWidth="1"/>
    <col min="10250" max="10250" width="10" style="110" customWidth="1"/>
    <col min="10251" max="10251" width="11.85546875" style="110" customWidth="1"/>
    <col min="10252" max="10252" width="14.42578125" style="110" customWidth="1"/>
    <col min="10253" max="10491" width="9.140625" style="110"/>
    <col min="10492" max="10492" width="33.5703125" style="110" customWidth="1"/>
    <col min="10493" max="10493" width="0" style="110" hidden="1" customWidth="1"/>
    <col min="10494" max="10503" width="10.140625" style="110" customWidth="1"/>
    <col min="10504" max="10504" width="10" style="110" customWidth="1"/>
    <col min="10505" max="10505" width="10.85546875" style="110" customWidth="1"/>
    <col min="10506" max="10506" width="10" style="110" customWidth="1"/>
    <col min="10507" max="10507" width="11.85546875" style="110" customWidth="1"/>
    <col min="10508" max="10508" width="14.42578125" style="110" customWidth="1"/>
    <col min="10509" max="10747" width="9.140625" style="110"/>
    <col min="10748" max="10748" width="33.5703125" style="110" customWidth="1"/>
    <col min="10749" max="10749" width="0" style="110" hidden="1" customWidth="1"/>
    <col min="10750" max="10759" width="10.140625" style="110" customWidth="1"/>
    <col min="10760" max="10760" width="10" style="110" customWidth="1"/>
    <col min="10761" max="10761" width="10.85546875" style="110" customWidth="1"/>
    <col min="10762" max="10762" width="10" style="110" customWidth="1"/>
    <col min="10763" max="10763" width="11.85546875" style="110" customWidth="1"/>
    <col min="10764" max="10764" width="14.42578125" style="110" customWidth="1"/>
    <col min="10765" max="11003" width="9.140625" style="110"/>
    <col min="11004" max="11004" width="33.5703125" style="110" customWidth="1"/>
    <col min="11005" max="11005" width="0" style="110" hidden="1" customWidth="1"/>
    <col min="11006" max="11015" width="10.140625" style="110" customWidth="1"/>
    <col min="11016" max="11016" width="10" style="110" customWidth="1"/>
    <col min="11017" max="11017" width="10.85546875" style="110" customWidth="1"/>
    <col min="11018" max="11018" width="10" style="110" customWidth="1"/>
    <col min="11019" max="11019" width="11.85546875" style="110" customWidth="1"/>
    <col min="11020" max="11020" width="14.42578125" style="110" customWidth="1"/>
    <col min="11021" max="11259" width="9.140625" style="110"/>
    <col min="11260" max="11260" width="33.5703125" style="110" customWidth="1"/>
    <col min="11261" max="11261" width="0" style="110" hidden="1" customWidth="1"/>
    <col min="11262" max="11271" width="10.140625" style="110" customWidth="1"/>
    <col min="11272" max="11272" width="10" style="110" customWidth="1"/>
    <col min="11273" max="11273" width="10.85546875" style="110" customWidth="1"/>
    <col min="11274" max="11274" width="10" style="110" customWidth="1"/>
    <col min="11275" max="11275" width="11.85546875" style="110" customWidth="1"/>
    <col min="11276" max="11276" width="14.42578125" style="110" customWidth="1"/>
    <col min="11277" max="11515" width="9.140625" style="110"/>
    <col min="11516" max="11516" width="33.5703125" style="110" customWidth="1"/>
    <col min="11517" max="11517" width="0" style="110" hidden="1" customWidth="1"/>
    <col min="11518" max="11527" width="10.140625" style="110" customWidth="1"/>
    <col min="11528" max="11528" width="10" style="110" customWidth="1"/>
    <col min="11529" max="11529" width="10.85546875" style="110" customWidth="1"/>
    <col min="11530" max="11530" width="10" style="110" customWidth="1"/>
    <col min="11531" max="11531" width="11.85546875" style="110" customWidth="1"/>
    <col min="11532" max="11532" width="14.42578125" style="110" customWidth="1"/>
    <col min="11533" max="11771" width="9.140625" style="110"/>
    <col min="11772" max="11772" width="33.5703125" style="110" customWidth="1"/>
    <col min="11773" max="11773" width="0" style="110" hidden="1" customWidth="1"/>
    <col min="11774" max="11783" width="10.140625" style="110" customWidth="1"/>
    <col min="11784" max="11784" width="10" style="110" customWidth="1"/>
    <col min="11785" max="11785" width="10.85546875" style="110" customWidth="1"/>
    <col min="11786" max="11786" width="10" style="110" customWidth="1"/>
    <col min="11787" max="11787" width="11.85546875" style="110" customWidth="1"/>
    <col min="11788" max="11788" width="14.42578125" style="110" customWidth="1"/>
    <col min="11789" max="12027" width="9.140625" style="110"/>
    <col min="12028" max="12028" width="33.5703125" style="110" customWidth="1"/>
    <col min="12029" max="12029" width="0" style="110" hidden="1" customWidth="1"/>
    <col min="12030" max="12039" width="10.140625" style="110" customWidth="1"/>
    <col min="12040" max="12040" width="10" style="110" customWidth="1"/>
    <col min="12041" max="12041" width="10.85546875" style="110" customWidth="1"/>
    <col min="12042" max="12042" width="10" style="110" customWidth="1"/>
    <col min="12043" max="12043" width="11.85546875" style="110" customWidth="1"/>
    <col min="12044" max="12044" width="14.42578125" style="110" customWidth="1"/>
    <col min="12045" max="12283" width="9.140625" style="110"/>
    <col min="12284" max="12284" width="33.5703125" style="110" customWidth="1"/>
    <col min="12285" max="12285" width="0" style="110" hidden="1" customWidth="1"/>
    <col min="12286" max="12295" width="10.140625" style="110" customWidth="1"/>
    <col min="12296" max="12296" width="10" style="110" customWidth="1"/>
    <col min="12297" max="12297" width="10.85546875" style="110" customWidth="1"/>
    <col min="12298" max="12298" width="10" style="110" customWidth="1"/>
    <col min="12299" max="12299" width="11.85546875" style="110" customWidth="1"/>
    <col min="12300" max="12300" width="14.42578125" style="110" customWidth="1"/>
    <col min="12301" max="12539" width="9.140625" style="110"/>
    <col min="12540" max="12540" width="33.5703125" style="110" customWidth="1"/>
    <col min="12541" max="12541" width="0" style="110" hidden="1" customWidth="1"/>
    <col min="12542" max="12551" width="10.140625" style="110" customWidth="1"/>
    <col min="12552" max="12552" width="10" style="110" customWidth="1"/>
    <col min="12553" max="12553" width="10.85546875" style="110" customWidth="1"/>
    <col min="12554" max="12554" width="10" style="110" customWidth="1"/>
    <col min="12555" max="12555" width="11.85546875" style="110" customWidth="1"/>
    <col min="12556" max="12556" width="14.42578125" style="110" customWidth="1"/>
    <col min="12557" max="12795" width="9.140625" style="110"/>
    <col min="12796" max="12796" width="33.5703125" style="110" customWidth="1"/>
    <col min="12797" max="12797" width="0" style="110" hidden="1" customWidth="1"/>
    <col min="12798" max="12807" width="10.140625" style="110" customWidth="1"/>
    <col min="12808" max="12808" width="10" style="110" customWidth="1"/>
    <col min="12809" max="12809" width="10.85546875" style="110" customWidth="1"/>
    <col min="12810" max="12810" width="10" style="110" customWidth="1"/>
    <col min="12811" max="12811" width="11.85546875" style="110" customWidth="1"/>
    <col min="12812" max="12812" width="14.42578125" style="110" customWidth="1"/>
    <col min="12813" max="13051" width="9.140625" style="110"/>
    <col min="13052" max="13052" width="33.5703125" style="110" customWidth="1"/>
    <col min="13053" max="13053" width="0" style="110" hidden="1" customWidth="1"/>
    <col min="13054" max="13063" width="10.140625" style="110" customWidth="1"/>
    <col min="13064" max="13064" width="10" style="110" customWidth="1"/>
    <col min="13065" max="13065" width="10.85546875" style="110" customWidth="1"/>
    <col min="13066" max="13066" width="10" style="110" customWidth="1"/>
    <col min="13067" max="13067" width="11.85546875" style="110" customWidth="1"/>
    <col min="13068" max="13068" width="14.42578125" style="110" customWidth="1"/>
    <col min="13069" max="13307" width="9.140625" style="110"/>
    <col min="13308" max="13308" width="33.5703125" style="110" customWidth="1"/>
    <col min="13309" max="13309" width="0" style="110" hidden="1" customWidth="1"/>
    <col min="13310" max="13319" width="10.140625" style="110" customWidth="1"/>
    <col min="13320" max="13320" width="10" style="110" customWidth="1"/>
    <col min="13321" max="13321" width="10.85546875" style="110" customWidth="1"/>
    <col min="13322" max="13322" width="10" style="110" customWidth="1"/>
    <col min="13323" max="13323" width="11.85546875" style="110" customWidth="1"/>
    <col min="13324" max="13324" width="14.42578125" style="110" customWidth="1"/>
    <col min="13325" max="13563" width="9.140625" style="110"/>
    <col min="13564" max="13564" width="33.5703125" style="110" customWidth="1"/>
    <col min="13565" max="13565" width="0" style="110" hidden="1" customWidth="1"/>
    <col min="13566" max="13575" width="10.140625" style="110" customWidth="1"/>
    <col min="13576" max="13576" width="10" style="110" customWidth="1"/>
    <col min="13577" max="13577" width="10.85546875" style="110" customWidth="1"/>
    <col min="13578" max="13578" width="10" style="110" customWidth="1"/>
    <col min="13579" max="13579" width="11.85546875" style="110" customWidth="1"/>
    <col min="13580" max="13580" width="14.42578125" style="110" customWidth="1"/>
    <col min="13581" max="13819" width="9.140625" style="110"/>
    <col min="13820" max="13820" width="33.5703125" style="110" customWidth="1"/>
    <col min="13821" max="13821" width="0" style="110" hidden="1" customWidth="1"/>
    <col min="13822" max="13831" width="10.140625" style="110" customWidth="1"/>
    <col min="13832" max="13832" width="10" style="110" customWidth="1"/>
    <col min="13833" max="13833" width="10.85546875" style="110" customWidth="1"/>
    <col min="13834" max="13834" width="10" style="110" customWidth="1"/>
    <col min="13835" max="13835" width="11.85546875" style="110" customWidth="1"/>
    <col min="13836" max="13836" width="14.42578125" style="110" customWidth="1"/>
    <col min="13837" max="14075" width="9.140625" style="110"/>
    <col min="14076" max="14076" width="33.5703125" style="110" customWidth="1"/>
    <col min="14077" max="14077" width="0" style="110" hidden="1" customWidth="1"/>
    <col min="14078" max="14087" width="10.140625" style="110" customWidth="1"/>
    <col min="14088" max="14088" width="10" style="110" customWidth="1"/>
    <col min="14089" max="14089" width="10.85546875" style="110" customWidth="1"/>
    <col min="14090" max="14090" width="10" style="110" customWidth="1"/>
    <col min="14091" max="14091" width="11.85546875" style="110" customWidth="1"/>
    <col min="14092" max="14092" width="14.42578125" style="110" customWidth="1"/>
    <col min="14093" max="14331" width="9.140625" style="110"/>
    <col min="14332" max="14332" width="33.5703125" style="110" customWidth="1"/>
    <col min="14333" max="14333" width="0" style="110" hidden="1" customWidth="1"/>
    <col min="14334" max="14343" width="10.140625" style="110" customWidth="1"/>
    <col min="14344" max="14344" width="10" style="110" customWidth="1"/>
    <col min="14345" max="14345" width="10.85546875" style="110" customWidth="1"/>
    <col min="14346" max="14346" width="10" style="110" customWidth="1"/>
    <col min="14347" max="14347" width="11.85546875" style="110" customWidth="1"/>
    <col min="14348" max="14348" width="14.42578125" style="110" customWidth="1"/>
    <col min="14349" max="14587" width="9.140625" style="110"/>
    <col min="14588" max="14588" width="33.5703125" style="110" customWidth="1"/>
    <col min="14589" max="14589" width="0" style="110" hidden="1" customWidth="1"/>
    <col min="14590" max="14599" width="10.140625" style="110" customWidth="1"/>
    <col min="14600" max="14600" width="10" style="110" customWidth="1"/>
    <col min="14601" max="14601" width="10.85546875" style="110" customWidth="1"/>
    <col min="14602" max="14602" width="10" style="110" customWidth="1"/>
    <col min="14603" max="14603" width="11.85546875" style="110" customWidth="1"/>
    <col min="14604" max="14604" width="14.42578125" style="110" customWidth="1"/>
    <col min="14605" max="14843" width="9.140625" style="110"/>
    <col min="14844" max="14844" width="33.5703125" style="110" customWidth="1"/>
    <col min="14845" max="14845" width="0" style="110" hidden="1" customWidth="1"/>
    <col min="14846" max="14855" width="10.140625" style="110" customWidth="1"/>
    <col min="14856" max="14856" width="10" style="110" customWidth="1"/>
    <col min="14857" max="14857" width="10.85546875" style="110" customWidth="1"/>
    <col min="14858" max="14858" width="10" style="110" customWidth="1"/>
    <col min="14859" max="14859" width="11.85546875" style="110" customWidth="1"/>
    <col min="14860" max="14860" width="14.42578125" style="110" customWidth="1"/>
    <col min="14861" max="15099" width="9.140625" style="110"/>
    <col min="15100" max="15100" width="33.5703125" style="110" customWidth="1"/>
    <col min="15101" max="15101" width="0" style="110" hidden="1" customWidth="1"/>
    <col min="15102" max="15111" width="10.140625" style="110" customWidth="1"/>
    <col min="15112" max="15112" width="10" style="110" customWidth="1"/>
    <col min="15113" max="15113" width="10.85546875" style="110" customWidth="1"/>
    <col min="15114" max="15114" width="10" style="110" customWidth="1"/>
    <col min="15115" max="15115" width="11.85546875" style="110" customWidth="1"/>
    <col min="15116" max="15116" width="14.42578125" style="110" customWidth="1"/>
    <col min="15117" max="15355" width="9.140625" style="110"/>
    <col min="15356" max="15356" width="33.5703125" style="110" customWidth="1"/>
    <col min="15357" max="15357" width="0" style="110" hidden="1" customWidth="1"/>
    <col min="15358" max="15367" width="10.140625" style="110" customWidth="1"/>
    <col min="15368" max="15368" width="10" style="110" customWidth="1"/>
    <col min="15369" max="15369" width="10.85546875" style="110" customWidth="1"/>
    <col min="15370" max="15370" width="10" style="110" customWidth="1"/>
    <col min="15371" max="15371" width="11.85546875" style="110" customWidth="1"/>
    <col min="15372" max="15372" width="14.42578125" style="110" customWidth="1"/>
    <col min="15373" max="15611" width="9.140625" style="110"/>
    <col min="15612" max="15612" width="33.5703125" style="110" customWidth="1"/>
    <col min="15613" max="15613" width="0" style="110" hidden="1" customWidth="1"/>
    <col min="15614" max="15623" width="10.140625" style="110" customWidth="1"/>
    <col min="15624" max="15624" width="10" style="110" customWidth="1"/>
    <col min="15625" max="15625" width="10.85546875" style="110" customWidth="1"/>
    <col min="15626" max="15626" width="10" style="110" customWidth="1"/>
    <col min="15627" max="15627" width="11.85546875" style="110" customWidth="1"/>
    <col min="15628" max="15628" width="14.42578125" style="110" customWidth="1"/>
    <col min="15629" max="15867" width="9.140625" style="110"/>
    <col min="15868" max="15868" width="33.5703125" style="110" customWidth="1"/>
    <col min="15869" max="15869" width="0" style="110" hidden="1" customWidth="1"/>
    <col min="15870" max="15879" width="10.140625" style="110" customWidth="1"/>
    <col min="15880" max="15880" width="10" style="110" customWidth="1"/>
    <col min="15881" max="15881" width="10.85546875" style="110" customWidth="1"/>
    <col min="15882" max="15882" width="10" style="110" customWidth="1"/>
    <col min="15883" max="15883" width="11.85546875" style="110" customWidth="1"/>
    <col min="15884" max="15884" width="14.42578125" style="110" customWidth="1"/>
    <col min="15885" max="16123" width="9.140625" style="110"/>
    <col min="16124" max="16124" width="33.5703125" style="110" customWidth="1"/>
    <col min="16125" max="16125" width="0" style="110" hidden="1" customWidth="1"/>
    <col min="16126" max="16135" width="10.140625" style="110" customWidth="1"/>
    <col min="16136" max="16136" width="10" style="110" customWidth="1"/>
    <col min="16137" max="16137" width="10.85546875" style="110" customWidth="1"/>
    <col min="16138" max="16138" width="10" style="110" customWidth="1"/>
    <col min="16139" max="16139" width="11.85546875" style="110" customWidth="1"/>
    <col min="16140" max="16140" width="14.42578125" style="110" customWidth="1"/>
    <col min="16141" max="16384" width="9.140625" style="110"/>
  </cols>
  <sheetData>
    <row r="1" spans="1:21" s="109" customFormat="1" ht="60" customHeight="1">
      <c r="A1" s="285" t="s">
        <v>89</v>
      </c>
      <c r="B1" s="284"/>
      <c r="C1" s="284"/>
      <c r="D1" s="284"/>
      <c r="E1" s="284"/>
      <c r="F1" s="284"/>
      <c r="G1" s="284"/>
      <c r="H1" s="284"/>
      <c r="I1" s="284"/>
      <c r="J1" s="284"/>
      <c r="K1" s="284"/>
      <c r="L1" s="284"/>
      <c r="M1" s="244"/>
      <c r="N1" s="108" t="s">
        <v>15</v>
      </c>
      <c r="O1" s="108" t="s">
        <v>10</v>
      </c>
      <c r="P1" s="108" t="s">
        <v>9</v>
      </c>
      <c r="Q1" s="134"/>
      <c r="R1" s="134"/>
      <c r="S1" s="109" t="s">
        <v>90</v>
      </c>
    </row>
    <row r="2" spans="1:21" s="162" customFormat="1">
      <c r="A2" s="152"/>
      <c r="B2" s="152"/>
      <c r="C2" s="286" t="s">
        <v>91</v>
      </c>
      <c r="D2" s="289" t="s">
        <v>92</v>
      </c>
      <c r="E2" s="290" t="s">
        <v>93</v>
      </c>
      <c r="F2" s="279" t="s">
        <v>94</v>
      </c>
      <c r="G2" s="279" t="s">
        <v>95</v>
      </c>
      <c r="H2" s="279" t="s">
        <v>96</v>
      </c>
      <c r="I2" s="279" t="s">
        <v>97</v>
      </c>
      <c r="J2" s="279" t="s">
        <v>98</v>
      </c>
      <c r="K2" s="290" t="s">
        <v>99</v>
      </c>
      <c r="L2" s="279" t="s">
        <v>100</v>
      </c>
      <c r="M2" s="241"/>
      <c r="N2" s="243">
        <v>1</v>
      </c>
      <c r="O2" s="243">
        <v>2</v>
      </c>
      <c r="P2" s="243">
        <v>6</v>
      </c>
      <c r="Q2" s="135" t="s">
        <v>171</v>
      </c>
      <c r="R2" s="135" t="s">
        <v>172</v>
      </c>
      <c r="S2" s="243">
        <v>1</v>
      </c>
      <c r="T2" s="243">
        <v>2</v>
      </c>
      <c r="U2" s="243">
        <v>6</v>
      </c>
    </row>
    <row r="3" spans="1:21" ht="23.25" customHeight="1">
      <c r="A3" s="153"/>
      <c r="B3" s="153"/>
      <c r="C3" s="287"/>
      <c r="D3" s="289"/>
      <c r="E3" s="291"/>
      <c r="F3" s="288"/>
      <c r="G3" s="280"/>
      <c r="H3" s="280"/>
      <c r="I3" s="280"/>
      <c r="J3" s="280"/>
      <c r="K3" s="292"/>
      <c r="L3" s="280"/>
      <c r="M3" s="242"/>
      <c r="N3" s="242"/>
      <c r="Q3" s="281"/>
      <c r="R3" s="281"/>
    </row>
    <row r="4" spans="1:21" ht="12.75" customHeight="1">
      <c r="A4" s="153"/>
      <c r="B4" s="153"/>
      <c r="C4" s="287"/>
      <c r="D4" s="289"/>
      <c r="E4" s="291"/>
      <c r="F4" s="288"/>
      <c r="G4" s="280"/>
      <c r="H4" s="280"/>
      <c r="I4" s="280"/>
      <c r="J4" s="280"/>
      <c r="K4" s="292"/>
      <c r="L4" s="280"/>
      <c r="M4" s="242"/>
      <c r="Q4" s="282"/>
      <c r="R4" s="282"/>
    </row>
    <row r="5" spans="1:21" ht="6" customHeight="1">
      <c r="A5" s="154"/>
      <c r="B5" s="154"/>
      <c r="C5" s="111"/>
      <c r="D5" s="254"/>
      <c r="E5" s="271"/>
      <c r="F5" s="111"/>
      <c r="G5" s="111"/>
      <c r="H5" s="111"/>
      <c r="I5" s="111"/>
      <c r="J5" s="111"/>
      <c r="K5" s="254"/>
      <c r="L5" s="111"/>
      <c r="M5" s="147"/>
    </row>
    <row r="6" spans="1:21" ht="6" customHeight="1">
      <c r="A6" s="283" t="s">
        <v>101</v>
      </c>
      <c r="D6" s="255"/>
      <c r="E6" s="255"/>
      <c r="F6" s="156"/>
      <c r="G6" s="156"/>
      <c r="H6" s="156"/>
      <c r="I6" s="156"/>
      <c r="J6" s="156"/>
      <c r="K6" s="255"/>
      <c r="L6" s="156"/>
      <c r="M6" s="156"/>
    </row>
    <row r="7" spans="1:21" ht="8.25" customHeight="1">
      <c r="A7" s="280"/>
      <c r="D7" s="256"/>
      <c r="E7" s="256"/>
      <c r="K7" s="256"/>
    </row>
    <row r="8" spans="1:21" ht="12" customHeight="1">
      <c r="A8" s="284"/>
      <c r="C8" s="155">
        <v>239</v>
      </c>
      <c r="D8" s="256">
        <v>322</v>
      </c>
      <c r="E8" s="256">
        <v>389</v>
      </c>
      <c r="F8" s="155">
        <v>479</v>
      </c>
      <c r="G8" s="155">
        <v>525</v>
      </c>
      <c r="H8" s="155">
        <v>631</v>
      </c>
      <c r="I8" s="155">
        <v>792</v>
      </c>
      <c r="J8" s="155">
        <v>947</v>
      </c>
      <c r="K8" s="256">
        <v>1040</v>
      </c>
      <c r="L8" s="155">
        <v>1057</v>
      </c>
    </row>
    <row r="9" spans="1:21" ht="1.5" customHeight="1">
      <c r="D9" s="256"/>
      <c r="E9" s="256"/>
      <c r="K9" s="256"/>
      <c r="O9" s="112"/>
      <c r="P9" s="112"/>
    </row>
    <row r="10" spans="1:21" ht="14.25" customHeight="1">
      <c r="A10" s="242" t="s">
        <v>102</v>
      </c>
      <c r="D10" s="256"/>
      <c r="E10" s="256"/>
      <c r="K10" s="256"/>
    </row>
    <row r="11" spans="1:21" s="112" customFormat="1" ht="12.75" customHeight="1">
      <c r="A11" s="242" t="s">
        <v>103</v>
      </c>
      <c r="B11" s="153"/>
      <c r="C11" s="157">
        <v>1.2</v>
      </c>
      <c r="D11" s="257">
        <v>1.2</v>
      </c>
      <c r="E11" s="257">
        <v>1.4</v>
      </c>
      <c r="F11" s="157">
        <v>1.7</v>
      </c>
      <c r="G11" s="157">
        <v>1.8</v>
      </c>
      <c r="H11" s="157">
        <v>2.2000000000000002</v>
      </c>
      <c r="I11" s="157">
        <v>2.6</v>
      </c>
      <c r="J11" s="157">
        <v>2.9</v>
      </c>
      <c r="K11" s="257">
        <v>3.1</v>
      </c>
      <c r="L11" s="157">
        <v>3.2</v>
      </c>
      <c r="M11" s="157"/>
      <c r="P11" s="110"/>
      <c r="Q11" s="137"/>
      <c r="R11" s="137"/>
    </row>
    <row r="12" spans="1:21" ht="1.5" customHeight="1">
      <c r="A12" s="242"/>
      <c r="D12" s="256"/>
      <c r="E12" s="256"/>
      <c r="K12" s="256"/>
    </row>
    <row r="13" spans="1:21" ht="17.25" customHeight="1">
      <c r="A13" s="113" t="s">
        <v>104</v>
      </c>
      <c r="C13" s="158">
        <v>1.0900000000000001</v>
      </c>
      <c r="D13" s="258">
        <v>1.1000000000000001</v>
      </c>
      <c r="E13" s="258">
        <v>1.19</v>
      </c>
      <c r="F13" s="158">
        <v>1.34</v>
      </c>
      <c r="G13" s="158">
        <v>1.41</v>
      </c>
      <c r="H13" s="158">
        <v>1.58</v>
      </c>
      <c r="I13" s="158">
        <v>1.78</v>
      </c>
      <c r="J13" s="158">
        <v>1.94</v>
      </c>
      <c r="K13" s="258">
        <v>2.0499999999999998</v>
      </c>
      <c r="L13" s="158">
        <v>2.1</v>
      </c>
      <c r="M13" s="158" t="s">
        <v>183</v>
      </c>
      <c r="N13" s="110">
        <v>3</v>
      </c>
      <c r="O13" s="110">
        <v>3</v>
      </c>
      <c r="P13" s="110">
        <v>1.52</v>
      </c>
    </row>
    <row r="14" spans="1:21" ht="1.5" customHeight="1">
      <c r="A14" s="242"/>
      <c r="C14" s="114"/>
      <c r="D14" s="259"/>
      <c r="E14" s="259"/>
      <c r="F14" s="114"/>
      <c r="G14" s="114"/>
      <c r="H14" s="114"/>
      <c r="I14" s="114"/>
      <c r="J14" s="114"/>
      <c r="K14" s="259"/>
      <c r="L14" s="114"/>
      <c r="M14" s="114"/>
    </row>
    <row r="15" spans="1:21" ht="15.75" customHeight="1">
      <c r="A15" s="113" t="s">
        <v>105</v>
      </c>
      <c r="C15" s="159">
        <v>309870</v>
      </c>
      <c r="D15" s="260">
        <v>400070</v>
      </c>
      <c r="E15" s="260">
        <v>408020</v>
      </c>
      <c r="F15" s="159">
        <v>404310</v>
      </c>
      <c r="G15" s="159">
        <v>411090</v>
      </c>
      <c r="H15" s="159">
        <v>410330</v>
      </c>
      <c r="I15" s="159">
        <v>410690</v>
      </c>
      <c r="J15" s="159">
        <v>411230</v>
      </c>
      <c r="K15" s="260">
        <v>411940</v>
      </c>
      <c r="L15" s="159">
        <v>410760</v>
      </c>
      <c r="M15" s="159"/>
      <c r="O15" s="115"/>
      <c r="P15" s="115"/>
    </row>
    <row r="16" spans="1:21" ht="12" customHeight="1">
      <c r="A16" s="116" t="s">
        <v>106</v>
      </c>
      <c r="C16" s="114" t="s">
        <v>107</v>
      </c>
      <c r="D16" s="259" t="s">
        <v>108</v>
      </c>
      <c r="E16" s="259" t="s">
        <v>109</v>
      </c>
      <c r="F16" s="114" t="s">
        <v>110</v>
      </c>
      <c r="G16" s="114" t="s">
        <v>111</v>
      </c>
      <c r="H16" s="114" t="s">
        <v>112</v>
      </c>
      <c r="I16" s="114" t="s">
        <v>113</v>
      </c>
      <c r="J16" s="114" t="s">
        <v>114</v>
      </c>
      <c r="K16" s="259" t="s">
        <v>115</v>
      </c>
      <c r="L16" s="114" t="s">
        <v>116</v>
      </c>
      <c r="M16" s="114"/>
    </row>
    <row r="17" spans="1:75" s="115" customFormat="1" ht="1.5" customHeight="1">
      <c r="A17" s="153"/>
      <c r="B17" s="117"/>
      <c r="C17" s="159"/>
      <c r="D17" s="260"/>
      <c r="E17" s="260"/>
      <c r="F17" s="159"/>
      <c r="G17" s="159"/>
      <c r="H17" s="159"/>
      <c r="I17" s="159"/>
      <c r="J17" s="159"/>
      <c r="K17" s="260"/>
      <c r="L17" s="159"/>
      <c r="M17" s="159"/>
      <c r="Q17" s="138"/>
      <c r="R17" s="138"/>
    </row>
    <row r="18" spans="1:75" ht="12" customHeight="1">
      <c r="A18" s="113" t="s">
        <v>117</v>
      </c>
      <c r="B18" s="154"/>
      <c r="C18" s="159">
        <v>74630</v>
      </c>
      <c r="D18" s="260">
        <v>135860</v>
      </c>
      <c r="E18" s="260">
        <v>179840</v>
      </c>
      <c r="F18" s="159">
        <v>219510</v>
      </c>
      <c r="G18" s="159">
        <v>262100</v>
      </c>
      <c r="H18" s="159">
        <v>312780</v>
      </c>
      <c r="I18" s="159">
        <v>375650</v>
      </c>
      <c r="J18" s="159">
        <v>443260</v>
      </c>
      <c r="K18" s="260">
        <v>526860</v>
      </c>
      <c r="L18" s="159">
        <v>868450</v>
      </c>
      <c r="M18" s="159"/>
      <c r="N18" s="110">
        <v>723667</v>
      </c>
      <c r="O18" s="94">
        <v>293751</v>
      </c>
      <c r="P18" s="118">
        <v>222221</v>
      </c>
    </row>
    <row r="19" spans="1:75" s="109" customFormat="1" ht="17.25" customHeight="1">
      <c r="A19" s="119" t="s">
        <v>118</v>
      </c>
      <c r="B19" s="120"/>
      <c r="C19" s="121" t="s">
        <v>119</v>
      </c>
      <c r="D19" s="261" t="s">
        <v>120</v>
      </c>
      <c r="E19" s="261" t="s">
        <v>121</v>
      </c>
      <c r="F19" s="121" t="s">
        <v>122</v>
      </c>
      <c r="G19" s="121" t="s">
        <v>123</v>
      </c>
      <c r="H19" s="121" t="s">
        <v>124</v>
      </c>
      <c r="I19" s="121" t="s">
        <v>125</v>
      </c>
      <c r="J19" s="121" t="s">
        <v>126</v>
      </c>
      <c r="K19" s="261" t="s">
        <v>127</v>
      </c>
      <c r="L19" s="121" t="s">
        <v>128</v>
      </c>
      <c r="M19" s="114"/>
      <c r="Q19" s="134"/>
      <c r="R19" s="134"/>
    </row>
    <row r="20" spans="1:75" s="109" customFormat="1" ht="17.25" customHeight="1">
      <c r="A20" s="116" t="s">
        <v>129</v>
      </c>
      <c r="B20" s="122"/>
      <c r="C20" s="123">
        <f t="shared" ref="C20:L20" si="0">C18/C13</f>
        <v>68467.889908256882</v>
      </c>
      <c r="D20" s="262">
        <f t="shared" si="0"/>
        <v>123509.0909090909</v>
      </c>
      <c r="E20" s="262">
        <f t="shared" si="0"/>
        <v>151126.05042016806</v>
      </c>
      <c r="F20" s="123">
        <f t="shared" si="0"/>
        <v>163813.43283582089</v>
      </c>
      <c r="G20" s="123">
        <f t="shared" si="0"/>
        <v>185886.52482269504</v>
      </c>
      <c r="H20" s="123">
        <f t="shared" si="0"/>
        <v>197962.02531645569</v>
      </c>
      <c r="I20" s="123">
        <f t="shared" si="0"/>
        <v>211039.32584269662</v>
      </c>
      <c r="J20" s="123">
        <f t="shared" si="0"/>
        <v>228484.53608247422</v>
      </c>
      <c r="K20" s="262">
        <f t="shared" si="0"/>
        <v>257004.87804878052</v>
      </c>
      <c r="L20" s="123">
        <f t="shared" si="0"/>
        <v>413547.61904761905</v>
      </c>
      <c r="M20" s="123"/>
      <c r="N20" s="123">
        <f t="shared" ref="N20:P20" si="1">N18/N13</f>
        <v>241222.33333333334</v>
      </c>
      <c r="O20" s="123">
        <f>O18/O13</f>
        <v>97917</v>
      </c>
      <c r="P20" s="123">
        <f t="shared" si="1"/>
        <v>146198.02631578947</v>
      </c>
      <c r="Q20" s="139"/>
      <c r="R20" s="140"/>
      <c r="S20" s="125"/>
      <c r="T20" s="125"/>
      <c r="U20" s="125"/>
      <c r="V20" s="125"/>
      <c r="W20" s="125"/>
      <c r="X20" s="125"/>
      <c r="Y20" s="125"/>
      <c r="Z20" s="125"/>
      <c r="AA20" s="125"/>
      <c r="AB20" s="125"/>
      <c r="AC20" s="125"/>
      <c r="AD20" s="125"/>
      <c r="AE20" s="125"/>
      <c r="AF20" s="125"/>
      <c r="AG20" s="125"/>
      <c r="AH20" s="125"/>
      <c r="AI20" s="125"/>
      <c r="AJ20" s="125"/>
      <c r="AK20" s="125"/>
      <c r="AL20" s="125"/>
      <c r="AM20" s="125"/>
      <c r="AN20" s="125"/>
      <c r="AO20" s="125"/>
      <c r="AP20" s="125"/>
      <c r="AQ20" s="125"/>
      <c r="AR20" s="125"/>
      <c r="AS20" s="125"/>
      <c r="AT20" s="125"/>
      <c r="AU20" s="125"/>
      <c r="AV20" s="125"/>
      <c r="AW20" s="125"/>
      <c r="AX20" s="125"/>
      <c r="AY20" s="125"/>
      <c r="AZ20" s="125"/>
      <c r="BA20" s="125"/>
      <c r="BB20" s="125"/>
      <c r="BC20" s="125"/>
      <c r="BD20" s="125"/>
      <c r="BE20" s="125"/>
      <c r="BF20" s="125"/>
      <c r="BG20" s="125"/>
      <c r="BH20" s="125"/>
      <c r="BI20" s="125"/>
      <c r="BJ20" s="125"/>
      <c r="BK20" s="125"/>
      <c r="BL20" s="125"/>
      <c r="BM20" s="125"/>
      <c r="BN20" s="125"/>
      <c r="BO20" s="125"/>
      <c r="BP20" s="125"/>
      <c r="BQ20" s="125"/>
      <c r="BR20" s="125"/>
      <c r="BS20" s="125"/>
      <c r="BT20" s="125"/>
      <c r="BU20" s="125"/>
      <c r="BV20" s="125"/>
      <c r="BW20" s="125"/>
    </row>
    <row r="21" spans="1:75" ht="15">
      <c r="A21" s="122" t="s">
        <v>130</v>
      </c>
      <c r="C21" s="126">
        <v>141810</v>
      </c>
      <c r="D21" s="263">
        <v>150630</v>
      </c>
      <c r="E21" s="263">
        <v>172560</v>
      </c>
      <c r="F21" s="126">
        <v>204090</v>
      </c>
      <c r="G21" s="126">
        <v>240580</v>
      </c>
      <c r="H21" s="126">
        <v>273820</v>
      </c>
      <c r="I21" s="126">
        <v>316770</v>
      </c>
      <c r="J21" s="126">
        <v>360160</v>
      </c>
      <c r="K21" s="263">
        <v>402060</v>
      </c>
      <c r="L21" s="126">
        <v>508500</v>
      </c>
      <c r="M21" s="126"/>
      <c r="N21" s="127"/>
      <c r="O21" s="127"/>
      <c r="P21" s="127"/>
      <c r="Q21" s="141"/>
      <c r="R21" s="141"/>
      <c r="S21" s="128"/>
      <c r="T21" s="128"/>
      <c r="U21" s="129"/>
      <c r="V21" s="129"/>
      <c r="W21" s="129"/>
      <c r="X21" s="129"/>
      <c r="Y21" s="129"/>
      <c r="Z21" s="129"/>
      <c r="AA21" s="129"/>
      <c r="AB21" s="129"/>
      <c r="AC21" s="129"/>
      <c r="AD21" s="129"/>
      <c r="AE21" s="129"/>
      <c r="AF21" s="129"/>
      <c r="AG21" s="129"/>
      <c r="AH21" s="129"/>
      <c r="AI21" s="129"/>
      <c r="AJ21" s="129"/>
      <c r="AK21" s="129"/>
      <c r="AL21" s="129"/>
      <c r="AM21" s="129"/>
      <c r="AN21" s="129"/>
      <c r="AO21" s="129"/>
      <c r="AP21" s="129"/>
      <c r="AQ21" s="129"/>
      <c r="AR21" s="129"/>
      <c r="AS21" s="129"/>
      <c r="AT21" s="129"/>
      <c r="AU21" s="129"/>
      <c r="AV21" s="129"/>
      <c r="AW21" s="129"/>
      <c r="AX21" s="129"/>
      <c r="AY21" s="129"/>
      <c r="AZ21" s="129"/>
      <c r="BA21" s="129"/>
      <c r="BB21" s="129"/>
      <c r="BC21" s="129"/>
      <c r="BD21" s="129"/>
      <c r="BE21" s="129"/>
      <c r="BF21" s="129"/>
      <c r="BG21" s="129"/>
      <c r="BH21" s="129"/>
      <c r="BI21" s="129"/>
      <c r="BJ21" s="129"/>
      <c r="BK21" s="129"/>
      <c r="BL21" s="129"/>
      <c r="BM21" s="129"/>
      <c r="BN21" s="129"/>
      <c r="BO21" s="129"/>
      <c r="BP21" s="129"/>
      <c r="BQ21" s="129"/>
      <c r="BR21" s="129"/>
      <c r="BS21" s="129"/>
      <c r="BT21" s="129"/>
      <c r="BU21" s="129"/>
      <c r="BV21" s="129"/>
      <c r="BW21" s="129"/>
    </row>
    <row r="22" spans="1:75" s="129" customFormat="1">
      <c r="A22" s="142" t="s">
        <v>131</v>
      </c>
      <c r="B22" s="160"/>
      <c r="C22" s="143">
        <f t="shared" ref="C22:K22" si="2">C21/C13</f>
        <v>130100.91743119265</v>
      </c>
      <c r="D22" s="263">
        <f>D21/D13</f>
        <v>136936.36363636362</v>
      </c>
      <c r="E22" s="263">
        <f t="shared" si="2"/>
        <v>145008.40336134454</v>
      </c>
      <c r="F22" s="143">
        <f t="shared" si="2"/>
        <v>152305.97014925373</v>
      </c>
      <c r="G22" s="143">
        <f t="shared" si="2"/>
        <v>170624.11347517732</v>
      </c>
      <c r="H22" s="143">
        <f t="shared" si="2"/>
        <v>173303.79746835443</v>
      </c>
      <c r="I22" s="143">
        <f t="shared" si="2"/>
        <v>177960.67415730338</v>
      </c>
      <c r="J22" s="143">
        <f t="shared" si="2"/>
        <v>185649.48453608248</v>
      </c>
      <c r="K22" s="263">
        <f t="shared" si="2"/>
        <v>196126.8292682927</v>
      </c>
      <c r="L22" s="143">
        <f>L21/L13</f>
        <v>242142.85714285713</v>
      </c>
      <c r="M22" s="143" t="s">
        <v>344</v>
      </c>
      <c r="N22" s="124">
        <f>(N20*K23)+23000</f>
        <v>207082.77595566184</v>
      </c>
      <c r="O22" s="124">
        <f>O20*D23</f>
        <v>108562.0323126748</v>
      </c>
      <c r="P22" s="124">
        <f>(P20*E23)+10600</f>
        <v>150879.86777720548</v>
      </c>
      <c r="Q22" s="139"/>
      <c r="R22" s="139"/>
      <c r="S22" s="128"/>
      <c r="T22" s="128"/>
    </row>
    <row r="23" spans="1:75" s="129" customFormat="1">
      <c r="A23" s="142" t="s">
        <v>132</v>
      </c>
      <c r="B23" s="160"/>
      <c r="C23" s="144">
        <f t="shared" ref="C23:K23" si="3">C22/C20</f>
        <v>1.9001741926839071</v>
      </c>
      <c r="D23" s="264">
        <f t="shared" si="3"/>
        <v>1.1087148535256881</v>
      </c>
      <c r="E23" s="264">
        <f t="shared" si="3"/>
        <v>0.95951957295373669</v>
      </c>
      <c r="F23" s="144">
        <f t="shared" si="3"/>
        <v>0.92975263085964199</v>
      </c>
      <c r="G23" s="144">
        <f t="shared" si="3"/>
        <v>0.91789393361312488</v>
      </c>
      <c r="H23" s="144">
        <f t="shared" si="3"/>
        <v>0.87543960611292282</v>
      </c>
      <c r="I23" s="144">
        <f t="shared" si="3"/>
        <v>0.84325835218953826</v>
      </c>
      <c r="J23" s="144">
        <f t="shared" si="3"/>
        <v>0.81252538013806797</v>
      </c>
      <c r="K23" s="264">
        <f t="shared" si="3"/>
        <v>0.76312492882359639</v>
      </c>
      <c r="L23" s="144">
        <f>L22/L20</f>
        <v>0.58552593701422073</v>
      </c>
      <c r="M23" s="144"/>
      <c r="N23" s="124"/>
      <c r="Q23" s="139"/>
      <c r="R23" s="139"/>
      <c r="S23" s="128"/>
      <c r="T23" s="128"/>
    </row>
    <row r="24" spans="1:75" s="132" customFormat="1">
      <c r="A24" s="130" t="s">
        <v>133</v>
      </c>
      <c r="B24" s="161"/>
      <c r="C24" s="133"/>
      <c r="D24" s="264"/>
      <c r="E24" s="264"/>
      <c r="F24" s="133"/>
      <c r="G24" s="133"/>
      <c r="H24" s="133"/>
      <c r="I24" s="133"/>
      <c r="J24" s="133"/>
      <c r="K24" s="264"/>
      <c r="L24" s="133"/>
      <c r="M24" s="133"/>
      <c r="N24" s="131">
        <v>9</v>
      </c>
      <c r="O24" s="132">
        <v>2</v>
      </c>
      <c r="P24" s="132">
        <v>3</v>
      </c>
      <c r="Q24" s="145"/>
      <c r="R24" s="145"/>
      <c r="S24" s="146"/>
      <c r="T24" s="146"/>
    </row>
    <row r="25" spans="1:75" s="163" customFormat="1">
      <c r="A25" s="182" t="s">
        <v>134</v>
      </c>
      <c r="B25" s="183"/>
      <c r="C25" s="184"/>
      <c r="D25" s="265"/>
      <c r="E25" s="265"/>
      <c r="F25" s="184"/>
      <c r="G25" s="184"/>
      <c r="H25" s="184"/>
      <c r="I25" s="184"/>
      <c r="J25" s="184"/>
      <c r="K25" s="265"/>
      <c r="L25" s="184"/>
      <c r="M25" s="184"/>
      <c r="N25" s="164"/>
      <c r="Q25" s="177"/>
      <c r="R25" s="177"/>
      <c r="S25" s="165"/>
      <c r="T25" s="165"/>
    </row>
    <row r="26" spans="1:75" s="129" customFormat="1" ht="15">
      <c r="A26" s="166" t="s">
        <v>135</v>
      </c>
      <c r="B26" s="160"/>
      <c r="C26" s="246">
        <v>3.6</v>
      </c>
      <c r="D26" s="266">
        <f>'Övrig konsumtion'!E26</f>
        <v>2.8</v>
      </c>
      <c r="E26" s="266">
        <f>'Övrig konsumtion'!F26</f>
        <v>3.3</v>
      </c>
      <c r="F26" s="246">
        <v>3.3</v>
      </c>
      <c r="G26" s="246">
        <v>3.7</v>
      </c>
      <c r="H26" s="246">
        <v>3.3</v>
      </c>
      <c r="I26" s="246">
        <v>3.6</v>
      </c>
      <c r="J26" s="246">
        <v>3.4</v>
      </c>
      <c r="K26" s="266">
        <f>'Övrig konsumtion'!L26</f>
        <v>3.8</v>
      </c>
      <c r="L26" s="246">
        <v>4.3</v>
      </c>
      <c r="M26" s="246"/>
      <c r="N26" s="247">
        <f>$N$22*K26/100</f>
        <v>7869.1454863151503</v>
      </c>
      <c r="O26" s="247">
        <f t="shared" ref="O26:O62" si="4">$O$22*D26/100</f>
        <v>3039.7369047548941</v>
      </c>
      <c r="P26" s="247">
        <f t="shared" ref="P26:P60" si="5">$P$22*E26/100</f>
        <v>4979.0356366477808</v>
      </c>
      <c r="Q26" s="248">
        <v>111</v>
      </c>
      <c r="R26" s="249">
        <v>2.1399999999999999E-2</v>
      </c>
      <c r="S26" s="250">
        <f t="shared" ref="S26:S60" si="6">N26*$R26</f>
        <v>168.39971340714422</v>
      </c>
      <c r="T26" s="250">
        <f t="shared" ref="T26:T60" si="7">O26*$R26</f>
        <v>65.050369761754737</v>
      </c>
      <c r="U26" s="250">
        <f t="shared" ref="U26:U60" si="8">P26*$R26</f>
        <v>106.55136262426251</v>
      </c>
    </row>
    <row r="27" spans="1:75" ht="15">
      <c r="A27" s="169" t="s">
        <v>136</v>
      </c>
      <c r="C27" s="167">
        <v>1.4</v>
      </c>
      <c r="D27" s="266">
        <f>'Övrig konsumtion'!E27</f>
        <v>1.2</v>
      </c>
      <c r="E27" s="266">
        <f>'Övrig konsumtion'!F27</f>
        <v>1.8</v>
      </c>
      <c r="F27" s="167">
        <v>1.5</v>
      </c>
      <c r="G27" s="167">
        <v>1.7</v>
      </c>
      <c r="H27" s="167">
        <v>1.3</v>
      </c>
      <c r="I27" s="167">
        <v>1.3</v>
      </c>
      <c r="J27" s="167">
        <v>1.4</v>
      </c>
      <c r="K27" s="266">
        <f>'Övrig konsumtion'!L27</f>
        <v>1.4</v>
      </c>
      <c r="L27" s="167">
        <v>1.4</v>
      </c>
      <c r="M27" s="167"/>
      <c r="N27" s="168">
        <f>$N$22*K27/100</f>
        <v>2899.1588633792653</v>
      </c>
      <c r="O27" s="168">
        <f t="shared" si="4"/>
        <v>1302.7443877520975</v>
      </c>
      <c r="P27" s="168">
        <f t="shared" si="5"/>
        <v>2715.8376199896989</v>
      </c>
      <c r="Q27" s="136">
        <v>2131</v>
      </c>
      <c r="R27" s="236">
        <v>1.6E-2</v>
      </c>
      <c r="S27" s="179">
        <f t="shared" si="6"/>
        <v>46.386541814068245</v>
      </c>
      <c r="T27" s="179">
        <f t="shared" si="7"/>
        <v>20.843910204033559</v>
      </c>
      <c r="U27" s="179">
        <f t="shared" si="8"/>
        <v>43.45340191983518</v>
      </c>
    </row>
    <row r="28" spans="1:75" ht="15">
      <c r="A28" s="169" t="s">
        <v>137</v>
      </c>
      <c r="C28" s="167">
        <v>1.2</v>
      </c>
      <c r="D28" s="266">
        <f>'Övrig konsumtion'!E28</f>
        <v>1.2</v>
      </c>
      <c r="E28" s="266">
        <f>'Övrig konsumtion'!F28</f>
        <v>1.1000000000000001</v>
      </c>
      <c r="F28" s="167">
        <v>1.3</v>
      </c>
      <c r="G28" s="167">
        <v>1.1000000000000001</v>
      </c>
      <c r="H28" s="167">
        <v>0.8</v>
      </c>
      <c r="I28" s="167">
        <v>0.8</v>
      </c>
      <c r="J28" s="167">
        <v>0.6</v>
      </c>
      <c r="K28" s="266">
        <f>'Övrig konsumtion'!L28</f>
        <v>0.5</v>
      </c>
      <c r="L28" s="167">
        <v>0.4</v>
      </c>
      <c r="M28" s="167"/>
      <c r="N28" s="168">
        <f t="shared" ref="N28:N59" si="9">$N$22*K28/100</f>
        <v>1035.4138797783091</v>
      </c>
      <c r="O28" s="168">
        <f t="shared" si="4"/>
        <v>1302.7443877520975</v>
      </c>
      <c r="P28" s="168">
        <f t="shared" si="5"/>
        <v>1659.6785455492604</v>
      </c>
      <c r="Q28" s="136">
        <v>22</v>
      </c>
      <c r="R28" s="236">
        <v>5.3E-3</v>
      </c>
      <c r="S28" s="179">
        <f t="shared" si="6"/>
        <v>5.4876935628250383</v>
      </c>
      <c r="T28" s="179">
        <f t="shared" si="7"/>
        <v>6.9045452550861173</v>
      </c>
      <c r="U28" s="179">
        <f t="shared" si="8"/>
        <v>8.79629629141108</v>
      </c>
    </row>
    <row r="29" spans="1:75" ht="15">
      <c r="A29" s="272" t="s">
        <v>138</v>
      </c>
      <c r="C29" s="167">
        <v>2.5</v>
      </c>
      <c r="D29" s="266">
        <f>'Övrig konsumtion'!E29*$D$70</f>
        <v>0.7333333333333335</v>
      </c>
      <c r="E29" s="266">
        <f>'Övrig konsumtion'!F29*$E$70</f>
        <v>0.85000000000000009</v>
      </c>
      <c r="F29" s="167">
        <v>1.7</v>
      </c>
      <c r="G29" s="167">
        <v>2.2000000000000002</v>
      </c>
      <c r="H29" s="167">
        <v>2.1</v>
      </c>
      <c r="I29" s="167">
        <v>2.2000000000000002</v>
      </c>
      <c r="J29" s="167">
        <v>2.2000000000000002</v>
      </c>
      <c r="K29" s="266">
        <f>'Övrig konsumtion'!L29*$K$70</f>
        <v>1.2454545454545454</v>
      </c>
      <c r="L29" s="167">
        <v>2</v>
      </c>
      <c r="M29" s="167"/>
      <c r="N29" s="168">
        <f t="shared" si="9"/>
        <v>2579.1218459932429</v>
      </c>
      <c r="O29" s="168">
        <f t="shared" si="4"/>
        <v>796.12157029294872</v>
      </c>
      <c r="P29" s="168">
        <f>$P$22*E29/100</f>
        <v>1282.4788761062468</v>
      </c>
      <c r="Q29" s="136">
        <v>561</v>
      </c>
      <c r="R29" s="236">
        <v>2.1600000000000001E-2</v>
      </c>
      <c r="S29" s="179">
        <f t="shared" si="6"/>
        <v>55.709031873454052</v>
      </c>
      <c r="T29" s="179">
        <f t="shared" si="7"/>
        <v>17.196225918327695</v>
      </c>
      <c r="U29" s="179">
        <f t="shared" si="8"/>
        <v>27.701543723894932</v>
      </c>
    </row>
    <row r="30" spans="1:75" ht="15">
      <c r="A30" s="172" t="s">
        <v>140</v>
      </c>
      <c r="C30" s="171">
        <v>0.7</v>
      </c>
      <c r="D30" s="266">
        <f>'Övrig konsumtion'!E30</f>
        <v>0.7</v>
      </c>
      <c r="E30" s="266">
        <f>'Övrig konsumtion'!F30</f>
        <v>1</v>
      </c>
      <c r="F30" s="171">
        <v>1.1000000000000001</v>
      </c>
      <c r="G30" s="171">
        <v>1</v>
      </c>
      <c r="H30" s="171">
        <v>1.1000000000000001</v>
      </c>
      <c r="I30" s="171">
        <v>1.3</v>
      </c>
      <c r="J30" s="171">
        <v>1.4</v>
      </c>
      <c r="K30" s="266">
        <f>'Övrig konsumtion'!L30</f>
        <v>1.4</v>
      </c>
      <c r="L30" s="171">
        <v>1.2</v>
      </c>
      <c r="M30" s="171"/>
      <c r="N30" s="168">
        <f t="shared" si="9"/>
        <v>2899.1588633792653</v>
      </c>
      <c r="O30" s="168">
        <f t="shared" si="4"/>
        <v>759.93422618872353</v>
      </c>
      <c r="P30" s="168">
        <f t="shared" si="5"/>
        <v>1508.7986777720548</v>
      </c>
      <c r="Q30" s="136">
        <v>125</v>
      </c>
      <c r="R30" s="236">
        <v>3.8E-3</v>
      </c>
      <c r="S30" s="179">
        <f t="shared" si="6"/>
        <v>11.016803680841209</v>
      </c>
      <c r="T30" s="179">
        <f t="shared" si="7"/>
        <v>2.8877500595171495</v>
      </c>
      <c r="U30" s="179">
        <f t="shared" si="8"/>
        <v>5.7334349755338083</v>
      </c>
    </row>
    <row r="31" spans="1:75" s="129" customFormat="1" ht="15">
      <c r="A31" s="172" t="s">
        <v>141</v>
      </c>
      <c r="B31" s="160"/>
      <c r="C31" s="251">
        <v>1.4</v>
      </c>
      <c r="D31" s="266">
        <f>'Övrig konsumtion'!E31</f>
        <v>1.7</v>
      </c>
      <c r="E31" s="266">
        <f>'Övrig konsumtion'!F31</f>
        <v>1.7</v>
      </c>
      <c r="F31" s="251">
        <v>1.9</v>
      </c>
      <c r="G31" s="251">
        <v>2</v>
      </c>
      <c r="H31" s="251">
        <v>2.4</v>
      </c>
      <c r="I31" s="251">
        <v>1.8</v>
      </c>
      <c r="J31" s="251">
        <v>1.8</v>
      </c>
      <c r="K31" s="266">
        <f>'Övrig konsumtion'!L31</f>
        <v>2</v>
      </c>
      <c r="L31" s="251">
        <v>2.1</v>
      </c>
      <c r="M31" s="251"/>
      <c r="N31" s="247">
        <f t="shared" si="9"/>
        <v>4141.6555191132366</v>
      </c>
      <c r="O31" s="247">
        <f t="shared" si="4"/>
        <v>1845.5545493154714</v>
      </c>
      <c r="P31" s="247">
        <f t="shared" si="5"/>
        <v>2564.9577522124932</v>
      </c>
      <c r="Q31" s="252">
        <v>127</v>
      </c>
      <c r="R31" s="253">
        <v>8.6999999999999994E-3</v>
      </c>
      <c r="S31" s="250">
        <f t="shared" si="6"/>
        <v>36.032403016285159</v>
      </c>
      <c r="T31" s="250">
        <f t="shared" si="7"/>
        <v>16.056324579044599</v>
      </c>
      <c r="U31" s="250">
        <f t="shared" si="8"/>
        <v>22.31513244424869</v>
      </c>
    </row>
    <row r="32" spans="1:75" ht="15">
      <c r="A32" s="272" t="s">
        <v>142</v>
      </c>
      <c r="C32" s="167">
        <v>2.9</v>
      </c>
      <c r="D32" s="266">
        <f>'Övrig konsumtion'!E32*$D$70</f>
        <v>1.1333333333333335</v>
      </c>
      <c r="E32" s="266">
        <f>'Övrig konsumtion'!F32*$E$70</f>
        <v>1.3761904761904762</v>
      </c>
      <c r="F32" s="167">
        <v>3.4</v>
      </c>
      <c r="G32" s="167">
        <v>3.2</v>
      </c>
      <c r="H32" s="167">
        <v>3.5</v>
      </c>
      <c r="I32" s="167">
        <v>3.9</v>
      </c>
      <c r="J32" s="167">
        <v>3.6</v>
      </c>
      <c r="K32" s="266">
        <f>'Övrig konsumtion'!L32*$K$70</f>
        <v>2.1660079051383399</v>
      </c>
      <c r="L32" s="167">
        <v>5.2</v>
      </c>
      <c r="M32" s="167"/>
      <c r="N32" s="168">
        <f t="shared" si="9"/>
        <v>4485.4292973795527</v>
      </c>
      <c r="O32" s="168">
        <f t="shared" si="4"/>
        <v>1230.3696995436478</v>
      </c>
      <c r="P32" s="168">
        <f t="shared" si="5"/>
        <v>2076.3943708386851</v>
      </c>
      <c r="Q32" s="136">
        <v>312</v>
      </c>
      <c r="R32" s="236">
        <v>1.6299999999999999E-2</v>
      </c>
      <c r="S32" s="179">
        <f t="shared" si="6"/>
        <v>73.112497547286708</v>
      </c>
      <c r="T32" s="179">
        <f t="shared" si="7"/>
        <v>20.055026102561456</v>
      </c>
      <c r="U32" s="179">
        <f t="shared" si="8"/>
        <v>33.845228244670565</v>
      </c>
    </row>
    <row r="33" spans="1:21" ht="15">
      <c r="A33" s="273" t="s">
        <v>143</v>
      </c>
      <c r="C33" s="167">
        <v>1</v>
      </c>
      <c r="D33" s="266">
        <f>'Övrig konsumtion'!E33*$D$70</f>
        <v>0.2</v>
      </c>
      <c r="E33" s="266">
        <f>'Övrig konsumtion'!F33*$E$70</f>
        <v>0.28333333333333333</v>
      </c>
      <c r="F33" s="167">
        <v>0.6</v>
      </c>
      <c r="G33" s="167">
        <v>0.7</v>
      </c>
      <c r="H33" s="167">
        <v>0.8</v>
      </c>
      <c r="I33" s="167">
        <v>0.8</v>
      </c>
      <c r="J33" s="167">
        <v>0.9</v>
      </c>
      <c r="K33" s="266">
        <f>'Övrig konsumtion'!L33*$K$70</f>
        <v>0.4873517786561265</v>
      </c>
      <c r="L33" s="167">
        <v>1</v>
      </c>
      <c r="M33" s="167"/>
      <c r="N33" s="168">
        <f t="shared" si="9"/>
        <v>1009.2215919103994</v>
      </c>
      <c r="O33" s="168">
        <f t="shared" si="4"/>
        <v>217.1240646253496</v>
      </c>
      <c r="P33" s="168">
        <f t="shared" si="5"/>
        <v>427.49295870208221</v>
      </c>
      <c r="Q33" s="136">
        <v>321</v>
      </c>
      <c r="R33" s="236">
        <v>2.3E-2</v>
      </c>
      <c r="S33" s="179">
        <f t="shared" si="6"/>
        <v>23.212096613939185</v>
      </c>
      <c r="T33" s="179">
        <f t="shared" si="7"/>
        <v>4.9938534863830411</v>
      </c>
      <c r="U33" s="179">
        <f t="shared" si="8"/>
        <v>9.8323380501478912</v>
      </c>
    </row>
    <row r="34" spans="1:21" ht="15">
      <c r="A34" s="174" t="s">
        <v>144</v>
      </c>
      <c r="C34" s="171">
        <v>25.5</v>
      </c>
      <c r="D34" s="266">
        <f>'Övrig konsumtion'!E34</f>
        <v>29.8</v>
      </c>
      <c r="E34" s="266">
        <f>'Övrig konsumtion'!F34</f>
        <v>23.2</v>
      </c>
      <c r="F34" s="171">
        <v>22.4</v>
      </c>
      <c r="G34" s="171">
        <v>16.600000000000001</v>
      </c>
      <c r="H34" s="171">
        <v>12.8</v>
      </c>
      <c r="I34" s="171">
        <v>10.1</v>
      </c>
      <c r="J34" s="171">
        <v>7.6</v>
      </c>
      <c r="K34" s="266">
        <f>'Övrig konsumtion'!L34</f>
        <v>6.4</v>
      </c>
      <c r="L34" s="171">
        <v>4</v>
      </c>
      <c r="M34" s="171"/>
      <c r="N34" s="168">
        <f t="shared" si="9"/>
        <v>13253.297661162358</v>
      </c>
      <c r="O34" s="168">
        <f t="shared" si="4"/>
        <v>32351.485629177088</v>
      </c>
      <c r="P34" s="168">
        <f t="shared" si="5"/>
        <v>35004.129324311667</v>
      </c>
      <c r="Q34" s="136" t="s">
        <v>173</v>
      </c>
      <c r="R34" s="236">
        <v>1.4500000000000001E-2</v>
      </c>
      <c r="S34" s="179">
        <f t="shared" si="6"/>
        <v>192.1728160868542</v>
      </c>
      <c r="T34" s="179">
        <f t="shared" si="7"/>
        <v>469.09654162306782</v>
      </c>
      <c r="U34" s="179">
        <f t="shared" si="8"/>
        <v>507.55987520251921</v>
      </c>
    </row>
    <row r="35" spans="1:21" ht="15">
      <c r="A35" s="274" t="s">
        <v>145</v>
      </c>
      <c r="C35" s="171">
        <v>1.3</v>
      </c>
      <c r="D35" s="266">
        <f>'Övrig konsumtion'!E35*$D$70</f>
        <v>0.13333333333333336</v>
      </c>
      <c r="E35" s="266">
        <f>'Övrig konsumtion'!F35*$E$70</f>
        <v>0.32380952380952382</v>
      </c>
      <c r="F35" s="171">
        <v>0.9</v>
      </c>
      <c r="G35" s="171">
        <v>1.1000000000000001</v>
      </c>
      <c r="H35" s="171">
        <v>1.7</v>
      </c>
      <c r="I35" s="171">
        <v>1.8</v>
      </c>
      <c r="J35" s="171">
        <v>1.7</v>
      </c>
      <c r="K35" s="266">
        <f>'Övrig konsumtion'!L35*$K$70</f>
        <v>1.2996047430830038</v>
      </c>
      <c r="L35" s="171">
        <v>2.1</v>
      </c>
      <c r="M35" s="171"/>
      <c r="N35" s="168">
        <f t="shared" si="9"/>
        <v>2691.2575784277315</v>
      </c>
      <c r="O35" s="168">
        <f t="shared" si="4"/>
        <v>144.74937641689976</v>
      </c>
      <c r="P35" s="168">
        <f t="shared" si="5"/>
        <v>488.56338137380823</v>
      </c>
      <c r="Q35" s="136">
        <v>43</v>
      </c>
      <c r="R35" s="236">
        <v>2.01E-2</v>
      </c>
      <c r="S35" s="179">
        <f t="shared" si="6"/>
        <v>54.094277326397403</v>
      </c>
      <c r="T35" s="179">
        <f t="shared" si="7"/>
        <v>2.9094624659796851</v>
      </c>
      <c r="U35" s="179">
        <f t="shared" si="8"/>
        <v>9.8201239656135453</v>
      </c>
    </row>
    <row r="36" spans="1:21" ht="15">
      <c r="A36" s="174" t="s">
        <v>146</v>
      </c>
      <c r="C36" s="171">
        <v>0.9</v>
      </c>
      <c r="D36" s="266">
        <f>'Övrig konsumtion'!E36</f>
        <v>1</v>
      </c>
      <c r="E36" s="266">
        <f>'Övrig konsumtion'!F36</f>
        <v>0.8</v>
      </c>
      <c r="F36" s="171">
        <v>0.8</v>
      </c>
      <c r="G36" s="171">
        <v>0.6</v>
      </c>
      <c r="H36" s="171">
        <v>0.8</v>
      </c>
      <c r="I36" s="171">
        <v>0.8</v>
      </c>
      <c r="J36" s="171">
        <v>0.8</v>
      </c>
      <c r="K36" s="266">
        <f>'Övrig konsumtion'!L36</f>
        <v>0.8</v>
      </c>
      <c r="L36" s="171">
        <v>0.8</v>
      </c>
      <c r="M36" s="171"/>
      <c r="N36" s="168">
        <f t="shared" si="9"/>
        <v>1656.6622076452948</v>
      </c>
      <c r="O36" s="168">
        <f t="shared" si="4"/>
        <v>1085.620323126748</v>
      </c>
      <c r="P36" s="168">
        <f t="shared" si="5"/>
        <v>1207.038942217644</v>
      </c>
      <c r="Q36" s="136">
        <v>125</v>
      </c>
      <c r="R36" s="236">
        <v>3.8E-3</v>
      </c>
      <c r="S36" s="179">
        <f t="shared" si="6"/>
        <v>6.29531638905212</v>
      </c>
      <c r="T36" s="179">
        <f t="shared" si="7"/>
        <v>4.1253572278816426</v>
      </c>
      <c r="U36" s="179">
        <f t="shared" si="8"/>
        <v>4.586747980427047</v>
      </c>
    </row>
    <row r="37" spans="1:21" ht="15">
      <c r="A37" s="275" t="s">
        <v>147</v>
      </c>
      <c r="C37" s="171">
        <v>1.5</v>
      </c>
      <c r="D37" s="266">
        <f>'Övrig konsumtion'!E37*$D$70</f>
        <v>0.36666666666666675</v>
      </c>
      <c r="E37" s="266">
        <f>'Övrig konsumtion'!F37*$E$70</f>
        <v>0.48571428571428571</v>
      </c>
      <c r="F37" s="171">
        <v>1.3</v>
      </c>
      <c r="G37" s="171">
        <v>1.2</v>
      </c>
      <c r="H37" s="171">
        <v>1.8</v>
      </c>
      <c r="I37" s="171">
        <v>1.9</v>
      </c>
      <c r="J37" s="171">
        <v>1.9</v>
      </c>
      <c r="K37" s="266">
        <f>'Övrig konsumtion'!L37*$K$70</f>
        <v>0.974703557312253</v>
      </c>
      <c r="L37" s="171">
        <v>1.7</v>
      </c>
      <c r="M37" s="171"/>
      <c r="N37" s="168">
        <f t="shared" si="9"/>
        <v>2018.4431838207988</v>
      </c>
      <c r="O37" s="168">
        <f t="shared" si="4"/>
        <v>398.06078514647436</v>
      </c>
      <c r="P37" s="168">
        <f t="shared" si="5"/>
        <v>732.84507206071225</v>
      </c>
      <c r="Q37" s="136">
        <v>43</v>
      </c>
      <c r="R37" s="236">
        <v>2.01E-2</v>
      </c>
      <c r="S37" s="179">
        <f t="shared" si="6"/>
        <v>40.570707994798056</v>
      </c>
      <c r="T37" s="179">
        <f t="shared" si="7"/>
        <v>8.001021781444134</v>
      </c>
      <c r="U37" s="179">
        <f t="shared" si="8"/>
        <v>14.730185948420317</v>
      </c>
    </row>
    <row r="38" spans="1:21" ht="15">
      <c r="A38" s="170" t="s">
        <v>148</v>
      </c>
      <c r="C38" s="171">
        <v>4.0999999999999996</v>
      </c>
      <c r="D38" s="266">
        <f>'Övrig konsumtion'!E38</f>
        <v>3.7</v>
      </c>
      <c r="E38" s="266">
        <f>'Övrig konsumtion'!F38</f>
        <v>3.9</v>
      </c>
      <c r="F38" s="171">
        <v>4</v>
      </c>
      <c r="G38" s="171">
        <v>3.8</v>
      </c>
      <c r="H38" s="171">
        <v>4.3</v>
      </c>
      <c r="I38" s="171">
        <v>4.5999999999999996</v>
      </c>
      <c r="J38" s="171">
        <v>4.2</v>
      </c>
      <c r="K38" s="266">
        <f>'Övrig konsumtion'!L38</f>
        <v>3.9</v>
      </c>
      <c r="L38" s="171">
        <v>4.0999999999999996</v>
      </c>
      <c r="M38" s="171"/>
      <c r="N38" s="168">
        <f t="shared" si="9"/>
        <v>8076.2282622708117</v>
      </c>
      <c r="O38" s="168">
        <f t="shared" si="4"/>
        <v>4016.7951955689678</v>
      </c>
      <c r="P38" s="168">
        <f t="shared" si="5"/>
        <v>5884.3148433110146</v>
      </c>
      <c r="Q38" s="136" t="s">
        <v>174</v>
      </c>
      <c r="R38" s="236"/>
      <c r="S38" s="179">
        <f t="shared" si="6"/>
        <v>0</v>
      </c>
      <c r="T38" s="179">
        <f t="shared" si="7"/>
        <v>0</v>
      </c>
      <c r="U38" s="179">
        <f t="shared" si="8"/>
        <v>0</v>
      </c>
    </row>
    <row r="39" spans="1:21" ht="15">
      <c r="A39" s="175" t="s">
        <v>149</v>
      </c>
      <c r="C39" s="171">
        <v>2.5</v>
      </c>
      <c r="D39" s="266">
        <f>'Övrig konsumtion'!E39</f>
        <v>2.2000000000000002</v>
      </c>
      <c r="E39" s="266">
        <f>'Övrig konsumtion'!F39</f>
        <v>2.4</v>
      </c>
      <c r="F39" s="171">
        <v>2.8</v>
      </c>
      <c r="G39" s="171">
        <v>3.6</v>
      </c>
      <c r="H39" s="171">
        <v>5.2</v>
      </c>
      <c r="I39" s="171">
        <v>5.3</v>
      </c>
      <c r="J39" s="171">
        <v>6.6</v>
      </c>
      <c r="K39" s="266">
        <f>'Övrig konsumtion'!L39</f>
        <v>8.1999999999999993</v>
      </c>
      <c r="L39" s="171">
        <v>8</v>
      </c>
      <c r="M39" s="171"/>
      <c r="N39" s="168">
        <f t="shared" si="9"/>
        <v>16980.787628364269</v>
      </c>
      <c r="O39" s="168">
        <f t="shared" si="4"/>
        <v>2388.3647108788455</v>
      </c>
      <c r="P39" s="168">
        <f t="shared" si="5"/>
        <v>3621.1168266529316</v>
      </c>
      <c r="Q39" s="136">
        <v>126</v>
      </c>
      <c r="R39" s="236">
        <v>4.8999999999999998E-3</v>
      </c>
      <c r="S39" s="179">
        <f t="shared" si="6"/>
        <v>83.205859378984911</v>
      </c>
      <c r="T39" s="179">
        <f t="shared" si="7"/>
        <v>11.702987083306342</v>
      </c>
      <c r="U39" s="179">
        <f t="shared" si="8"/>
        <v>17.743472450599363</v>
      </c>
    </row>
    <row r="40" spans="1:21" ht="15">
      <c r="A40" s="175" t="s">
        <v>150</v>
      </c>
      <c r="C40" s="171" t="s">
        <v>139</v>
      </c>
      <c r="D40" s="266">
        <f>'Övrig konsumtion'!E40</f>
        <v>0.2</v>
      </c>
      <c r="E40" s="266">
        <f>'Övrig konsumtion'!F40</f>
        <v>0.2</v>
      </c>
      <c r="F40" s="171">
        <v>0.2</v>
      </c>
      <c r="G40" s="171">
        <v>0.3</v>
      </c>
      <c r="H40" s="171">
        <v>0.3</v>
      </c>
      <c r="I40" s="171">
        <v>0.4</v>
      </c>
      <c r="J40" s="171">
        <v>0.4</v>
      </c>
      <c r="K40" s="266">
        <f>'Övrig konsumtion'!L40</f>
        <v>0.4</v>
      </c>
      <c r="L40" s="171">
        <v>0.5</v>
      </c>
      <c r="M40" s="171"/>
      <c r="N40" s="168">
        <f t="shared" si="9"/>
        <v>828.33110382264738</v>
      </c>
      <c r="O40" s="168">
        <f t="shared" si="4"/>
        <v>217.1240646253496</v>
      </c>
      <c r="P40" s="168">
        <f t="shared" si="5"/>
        <v>301.75973555441101</v>
      </c>
      <c r="Q40" s="136">
        <v>126</v>
      </c>
      <c r="R40" s="236">
        <v>4.8999999999999998E-3</v>
      </c>
      <c r="S40" s="179">
        <f t="shared" si="6"/>
        <v>4.0588224087309719</v>
      </c>
      <c r="T40" s="179">
        <f t="shared" si="7"/>
        <v>1.0639079166642129</v>
      </c>
      <c r="U40" s="179">
        <f t="shared" si="8"/>
        <v>1.4786227042166138</v>
      </c>
    </row>
    <row r="41" spans="1:21" ht="15">
      <c r="A41" s="175" t="s">
        <v>151</v>
      </c>
      <c r="C41" s="171">
        <v>0</v>
      </c>
      <c r="D41" s="266">
        <f>'Övrig konsumtion'!E41</f>
        <v>0</v>
      </c>
      <c r="E41" s="266">
        <f>'Övrig konsumtion'!F41</f>
        <v>0</v>
      </c>
      <c r="F41" s="171">
        <v>0</v>
      </c>
      <c r="G41" s="171">
        <v>0</v>
      </c>
      <c r="H41" s="171">
        <v>0</v>
      </c>
      <c r="I41" s="171">
        <v>0</v>
      </c>
      <c r="J41" s="171">
        <v>0</v>
      </c>
      <c r="K41" s="266">
        <f>'Övrig konsumtion'!L41</f>
        <v>0</v>
      </c>
      <c r="L41" s="171">
        <v>0</v>
      </c>
      <c r="M41" s="171"/>
      <c r="N41" s="168">
        <f t="shared" si="9"/>
        <v>0</v>
      </c>
      <c r="O41" s="168">
        <f t="shared" si="4"/>
        <v>0</v>
      </c>
      <c r="P41" s="168">
        <f t="shared" si="5"/>
        <v>0</v>
      </c>
      <c r="R41" s="236"/>
      <c r="S41" s="179">
        <f t="shared" si="6"/>
        <v>0</v>
      </c>
      <c r="T41" s="179">
        <f t="shared" si="7"/>
        <v>0</v>
      </c>
      <c r="U41" s="179">
        <f t="shared" si="8"/>
        <v>0</v>
      </c>
    </row>
    <row r="42" spans="1:21" ht="15">
      <c r="A42" s="275" t="s">
        <v>152</v>
      </c>
      <c r="C42" s="171">
        <v>1.2</v>
      </c>
      <c r="D42" s="266">
        <f>'Övrig konsumtion'!E42*$D$70</f>
        <v>0.36666666666666675</v>
      </c>
      <c r="E42" s="266">
        <f>'Övrig konsumtion'!F42*$E$70</f>
        <v>0.76904761904761898</v>
      </c>
      <c r="F42" s="171">
        <v>1.8</v>
      </c>
      <c r="G42" s="171">
        <v>1.9</v>
      </c>
      <c r="H42" s="171">
        <v>2.2000000000000002</v>
      </c>
      <c r="I42" s="171">
        <v>2.2000000000000002</v>
      </c>
      <c r="J42" s="171">
        <v>2.6</v>
      </c>
      <c r="K42" s="266">
        <f>'Övrig konsumtion'!L42*$K$70</f>
        <v>1.2454545454545454</v>
      </c>
      <c r="L42" s="171">
        <v>3.2</v>
      </c>
      <c r="M42" s="171"/>
      <c r="N42" s="168">
        <f t="shared" si="9"/>
        <v>2579.1218459932429</v>
      </c>
      <c r="O42" s="168">
        <f t="shared" si="4"/>
        <v>398.06078514647436</v>
      </c>
      <c r="P42" s="168">
        <f t="shared" si="5"/>
        <v>1160.3380307627945</v>
      </c>
      <c r="Q42" s="136" t="s">
        <v>175</v>
      </c>
      <c r="R42" s="236">
        <v>1.9900000000000001E-2</v>
      </c>
      <c r="S42" s="179">
        <f t="shared" si="6"/>
        <v>51.324524735265534</v>
      </c>
      <c r="T42" s="179">
        <f t="shared" si="7"/>
        <v>7.9214096244148404</v>
      </c>
      <c r="U42" s="179">
        <f t="shared" si="8"/>
        <v>23.090726812179611</v>
      </c>
    </row>
    <row r="43" spans="1:21" ht="15">
      <c r="A43" s="274" t="s">
        <v>153</v>
      </c>
      <c r="C43" s="171">
        <v>0.3</v>
      </c>
      <c r="D43" s="266">
        <f>'Övrig konsumtion'!E43*$D$70</f>
        <v>0.1</v>
      </c>
      <c r="E43" s="266">
        <f>'Övrig konsumtion'!F43*$E$70</f>
        <v>0.20238095238095238</v>
      </c>
      <c r="F43" s="171">
        <v>0.4</v>
      </c>
      <c r="G43" s="171">
        <v>0.3</v>
      </c>
      <c r="H43" s="171">
        <v>0.3</v>
      </c>
      <c r="I43" s="171">
        <v>0.4</v>
      </c>
      <c r="J43" s="171">
        <v>0.5</v>
      </c>
      <c r="K43" s="266">
        <f>'Övrig konsumtion'!L43*$K$70</f>
        <v>0.27075098814229248</v>
      </c>
      <c r="L43" s="171">
        <v>0.6</v>
      </c>
      <c r="M43" s="171"/>
      <c r="N43" s="168">
        <f t="shared" si="9"/>
        <v>560.67866217244409</v>
      </c>
      <c r="O43" s="168">
        <f t="shared" si="4"/>
        <v>108.5620323126748</v>
      </c>
      <c r="P43" s="168">
        <f t="shared" si="5"/>
        <v>305.35211335863016</v>
      </c>
      <c r="Q43" s="136" t="s">
        <v>176</v>
      </c>
      <c r="R43" s="236">
        <v>1.6799999999999999E-2</v>
      </c>
      <c r="S43" s="179">
        <f t="shared" si="6"/>
        <v>9.4194015244970597</v>
      </c>
      <c r="T43" s="179">
        <f t="shared" si="7"/>
        <v>1.8238421428529366</v>
      </c>
      <c r="U43" s="179">
        <f t="shared" si="8"/>
        <v>5.1299155044249867</v>
      </c>
    </row>
    <row r="44" spans="1:21" ht="15">
      <c r="A44" s="274" t="s">
        <v>154</v>
      </c>
      <c r="C44" s="171">
        <v>1.3</v>
      </c>
      <c r="D44" s="266">
        <f>'Övrig konsumtion'!E44*$D$70</f>
        <v>0.46666666666666667</v>
      </c>
      <c r="E44" s="266">
        <f>'Övrig konsumtion'!F44*$E$70</f>
        <v>0.72857142857142865</v>
      </c>
      <c r="F44" s="171">
        <v>2.2000000000000002</v>
      </c>
      <c r="G44" s="171">
        <v>2.5</v>
      </c>
      <c r="H44" s="171">
        <v>2.6</v>
      </c>
      <c r="I44" s="171">
        <v>2.8</v>
      </c>
      <c r="J44" s="171">
        <v>2.9</v>
      </c>
      <c r="K44" s="266">
        <f>'Övrig konsumtion'!L44*$K$70</f>
        <v>1.5703557312252963</v>
      </c>
      <c r="L44" s="171">
        <v>3.2</v>
      </c>
      <c r="M44" s="171"/>
      <c r="N44" s="168">
        <f t="shared" si="9"/>
        <v>3251.9362406001751</v>
      </c>
      <c r="O44" s="168">
        <f t="shared" si="4"/>
        <v>506.62281745914908</v>
      </c>
      <c r="P44" s="168">
        <f t="shared" si="5"/>
        <v>1099.2676080910685</v>
      </c>
      <c r="Q44" s="136" t="s">
        <v>177</v>
      </c>
      <c r="R44" s="236">
        <v>2.2100000000000002E-2</v>
      </c>
      <c r="S44" s="179">
        <f t="shared" si="6"/>
        <v>71.867790917263875</v>
      </c>
      <c r="T44" s="179">
        <f t="shared" si="7"/>
        <v>11.196364265847196</v>
      </c>
      <c r="U44" s="179">
        <f t="shared" si="8"/>
        <v>24.293814138812614</v>
      </c>
    </row>
    <row r="45" spans="1:21" ht="15">
      <c r="A45" s="274" t="s">
        <v>155</v>
      </c>
      <c r="C45" s="171" t="s">
        <v>139</v>
      </c>
      <c r="D45" s="266">
        <f>'Övrig konsumtion'!E45*$D$70</f>
        <v>0.5</v>
      </c>
      <c r="E45" s="266">
        <f>'Övrig konsumtion'!F45*$E$70</f>
        <v>0.97142857142857142</v>
      </c>
      <c r="F45" s="171">
        <v>-0.3</v>
      </c>
      <c r="G45" s="171">
        <v>3.6</v>
      </c>
      <c r="H45" s="171">
        <v>3.1</v>
      </c>
      <c r="I45" s="171">
        <v>3.9</v>
      </c>
      <c r="J45" s="171">
        <v>5</v>
      </c>
      <c r="K45" s="266">
        <f>'Övrig konsumtion'!L45*$K$70</f>
        <v>2.5450592885375496</v>
      </c>
      <c r="L45" s="171">
        <v>4.3</v>
      </c>
      <c r="M45" s="171"/>
      <c r="N45" s="168">
        <f t="shared" si="9"/>
        <v>5270.3794244209748</v>
      </c>
      <c r="O45" s="168">
        <f t="shared" si="4"/>
        <v>542.81016156337398</v>
      </c>
      <c r="P45" s="168">
        <f t="shared" si="5"/>
        <v>1465.6901441214245</v>
      </c>
      <c r="Q45" s="136">
        <v>711</v>
      </c>
      <c r="R45" s="236">
        <v>1.89E-2</v>
      </c>
      <c r="S45" s="179">
        <f t="shared" si="6"/>
        <v>99.610171121556419</v>
      </c>
      <c r="T45" s="179">
        <f t="shared" si="7"/>
        <v>10.259112053547769</v>
      </c>
      <c r="U45" s="179">
        <f t="shared" si="8"/>
        <v>27.701543723894922</v>
      </c>
    </row>
    <row r="46" spans="1:21" ht="15">
      <c r="A46" s="275" t="s">
        <v>156</v>
      </c>
      <c r="C46" s="171" t="s">
        <v>139</v>
      </c>
      <c r="D46" s="266">
        <f>'Övrig konsumtion'!E46*$D$70</f>
        <v>6.666666666666668E-2</v>
      </c>
      <c r="E46" s="266">
        <f>'Övrig konsumtion'!F46*$E$70</f>
        <v>0.20238095238095238</v>
      </c>
      <c r="F46" s="171">
        <v>0.6</v>
      </c>
      <c r="G46" s="171">
        <v>0.6</v>
      </c>
      <c r="H46" s="171">
        <v>0.7</v>
      </c>
      <c r="I46" s="171">
        <v>0.7</v>
      </c>
      <c r="J46" s="171">
        <v>1</v>
      </c>
      <c r="K46" s="266">
        <f>'Övrig konsumtion'!L46*$K$70</f>
        <v>0.64980237154150189</v>
      </c>
      <c r="L46" s="171">
        <v>0.9</v>
      </c>
      <c r="M46" s="171"/>
      <c r="N46" s="168">
        <f t="shared" si="9"/>
        <v>1345.6287892138657</v>
      </c>
      <c r="O46" s="168">
        <f t="shared" si="4"/>
        <v>72.374688208449882</v>
      </c>
      <c r="P46" s="168">
        <f t="shared" si="5"/>
        <v>305.35211335863016</v>
      </c>
      <c r="Q46" s="136">
        <v>713</v>
      </c>
      <c r="R46" s="236">
        <v>1.6299999999999999E-2</v>
      </c>
      <c r="S46" s="179">
        <f t="shared" si="6"/>
        <v>21.933749264186009</v>
      </c>
      <c r="T46" s="179">
        <f t="shared" si="7"/>
        <v>1.1797074177977329</v>
      </c>
      <c r="U46" s="179">
        <f t="shared" si="8"/>
        <v>4.9772394477456716</v>
      </c>
    </row>
    <row r="47" spans="1:21" ht="15">
      <c r="A47" s="174" t="s">
        <v>157</v>
      </c>
      <c r="C47" s="171">
        <v>4.8</v>
      </c>
      <c r="D47" s="266">
        <f>'Övrig konsumtion'!E47</f>
        <v>6.3</v>
      </c>
      <c r="E47" s="266">
        <f>'Övrig konsumtion'!F47</f>
        <v>7</v>
      </c>
      <c r="F47" s="171">
        <v>8.1999999999999993</v>
      </c>
      <c r="G47" s="171">
        <v>7.5</v>
      </c>
      <c r="H47" s="171">
        <v>9.6</v>
      </c>
      <c r="I47" s="171">
        <v>8.8000000000000007</v>
      </c>
      <c r="J47" s="171">
        <v>8.9</v>
      </c>
      <c r="K47" s="266">
        <f>'Övrig konsumtion'!L47</f>
        <v>8.6</v>
      </c>
      <c r="L47" s="171">
        <v>7.5</v>
      </c>
      <c r="M47" s="171"/>
      <c r="N47" s="168">
        <f t="shared" si="9"/>
        <v>17809.118732186918</v>
      </c>
      <c r="O47" s="168">
        <f t="shared" si="4"/>
        <v>6839.4080356985123</v>
      </c>
      <c r="P47" s="168">
        <f t="shared" si="5"/>
        <v>10561.590744404382</v>
      </c>
      <c r="Q47" s="136" t="s">
        <v>174</v>
      </c>
      <c r="R47" s="236"/>
      <c r="S47" s="179">
        <f t="shared" si="6"/>
        <v>0</v>
      </c>
      <c r="T47" s="179">
        <f t="shared" si="7"/>
        <v>0</v>
      </c>
      <c r="U47" s="179">
        <f t="shared" si="8"/>
        <v>0</v>
      </c>
    </row>
    <row r="48" spans="1:21" ht="15">
      <c r="A48" s="170" t="s">
        <v>158</v>
      </c>
      <c r="C48" s="171">
        <v>0.5</v>
      </c>
      <c r="D48" s="266">
        <f>'Övrig konsumtion'!E48</f>
        <v>0.5</v>
      </c>
      <c r="E48" s="266">
        <f>'Övrig konsumtion'!F48</f>
        <v>0.7</v>
      </c>
      <c r="F48" s="171">
        <v>0.8</v>
      </c>
      <c r="G48" s="171">
        <v>0.7</v>
      </c>
      <c r="H48" s="171">
        <v>0.8</v>
      </c>
      <c r="I48" s="171">
        <v>0.8</v>
      </c>
      <c r="J48" s="171">
        <v>0.9</v>
      </c>
      <c r="K48" s="266">
        <f>'Övrig konsumtion'!L48</f>
        <v>0.8</v>
      </c>
      <c r="L48" s="171">
        <v>0.6</v>
      </c>
      <c r="M48" s="171"/>
      <c r="N48" s="168">
        <f t="shared" si="9"/>
        <v>1656.6622076452948</v>
      </c>
      <c r="O48" s="168">
        <f t="shared" si="4"/>
        <v>542.81016156337398</v>
      </c>
      <c r="P48" s="168">
        <f t="shared" si="5"/>
        <v>1056.1590744404382</v>
      </c>
      <c r="Q48" s="136">
        <v>126</v>
      </c>
      <c r="R48" s="236">
        <v>4.8999999999999998E-3</v>
      </c>
      <c r="S48" s="179">
        <f t="shared" si="6"/>
        <v>8.1176448174619438</v>
      </c>
      <c r="T48" s="179">
        <f t="shared" si="7"/>
        <v>2.6597697916605325</v>
      </c>
      <c r="U48" s="179">
        <f t="shared" si="8"/>
        <v>5.1751794647581466</v>
      </c>
    </row>
    <row r="49" spans="1:21" ht="15">
      <c r="A49" s="174" t="s">
        <v>159</v>
      </c>
      <c r="C49" s="171">
        <v>0.2</v>
      </c>
      <c r="D49" s="266">
        <f>'Övrig konsumtion'!E49</f>
        <v>0.2</v>
      </c>
      <c r="E49" s="266">
        <f>'Övrig konsumtion'!F49</f>
        <v>0.2</v>
      </c>
      <c r="F49" s="171">
        <v>0.4</v>
      </c>
      <c r="G49" s="171">
        <v>0.2</v>
      </c>
      <c r="H49" s="171">
        <v>0.3</v>
      </c>
      <c r="I49" s="171">
        <v>0.4</v>
      </c>
      <c r="J49" s="171">
        <v>0.4</v>
      </c>
      <c r="K49" s="266">
        <f>'Övrig konsumtion'!L49</f>
        <v>0.4</v>
      </c>
      <c r="L49" s="171">
        <v>0.3</v>
      </c>
      <c r="M49" s="171"/>
      <c r="N49" s="168">
        <f t="shared" si="9"/>
        <v>828.33110382264738</v>
      </c>
      <c r="O49" s="168">
        <f t="shared" si="4"/>
        <v>217.1240646253496</v>
      </c>
      <c r="P49" s="168">
        <f t="shared" si="5"/>
        <v>301.75973555441101</v>
      </c>
      <c r="Q49" s="136" t="s">
        <v>174</v>
      </c>
      <c r="R49" s="236"/>
      <c r="S49" s="179">
        <f t="shared" si="6"/>
        <v>0</v>
      </c>
      <c r="T49" s="179">
        <f t="shared" si="7"/>
        <v>0</v>
      </c>
      <c r="U49" s="179">
        <f t="shared" si="8"/>
        <v>0</v>
      </c>
    </row>
    <row r="50" spans="1:21" ht="15">
      <c r="A50" s="176" t="s">
        <v>160</v>
      </c>
      <c r="C50" s="171">
        <v>2.8</v>
      </c>
      <c r="D50" s="266">
        <f>'Övrig konsumtion'!E50</f>
        <v>2</v>
      </c>
      <c r="E50" s="266">
        <f>'Övrig konsumtion'!F50</f>
        <v>1.4</v>
      </c>
      <c r="F50" s="171">
        <v>1.4</v>
      </c>
      <c r="G50" s="171">
        <v>1.4</v>
      </c>
      <c r="H50" s="171">
        <v>1.4</v>
      </c>
      <c r="I50" s="171">
        <v>1.2</v>
      </c>
      <c r="J50" s="171">
        <v>1.1000000000000001</v>
      </c>
      <c r="K50" s="266">
        <f>'Övrig konsumtion'!L50</f>
        <v>1.4</v>
      </c>
      <c r="L50" s="171">
        <v>1.5</v>
      </c>
      <c r="M50" s="171"/>
      <c r="N50" s="168">
        <f t="shared" si="9"/>
        <v>2899.1588633792653</v>
      </c>
      <c r="O50" s="168">
        <f t="shared" si="4"/>
        <v>2171.2406462534959</v>
      </c>
      <c r="P50" s="168">
        <f t="shared" si="5"/>
        <v>2112.3181488808764</v>
      </c>
      <c r="Q50" s="136" t="s">
        <v>174</v>
      </c>
      <c r="R50" s="236"/>
      <c r="S50" s="179">
        <f t="shared" si="6"/>
        <v>0</v>
      </c>
      <c r="T50" s="179">
        <f t="shared" si="7"/>
        <v>0</v>
      </c>
      <c r="U50" s="179">
        <f t="shared" si="8"/>
        <v>0</v>
      </c>
    </row>
    <row r="51" spans="1:21" ht="15">
      <c r="A51" s="174" t="s">
        <v>161</v>
      </c>
      <c r="C51" s="171">
        <v>0.3</v>
      </c>
      <c r="D51" s="266">
        <f>'Övrig konsumtion'!E51</f>
        <v>0.5</v>
      </c>
      <c r="E51" s="266">
        <f>'Övrig konsumtion'!F51</f>
        <v>0.9</v>
      </c>
      <c r="F51" s="171">
        <v>1.8</v>
      </c>
      <c r="G51" s="171">
        <v>1.3</v>
      </c>
      <c r="H51" s="171">
        <v>1</v>
      </c>
      <c r="I51" s="171">
        <v>0.9</v>
      </c>
      <c r="J51" s="171">
        <v>1.2</v>
      </c>
      <c r="K51" s="266">
        <f>'Övrig konsumtion'!L51</f>
        <v>1.2</v>
      </c>
      <c r="L51" s="171">
        <v>1.4</v>
      </c>
      <c r="M51" s="171"/>
      <c r="N51" s="168">
        <f t="shared" si="9"/>
        <v>2484.993311467942</v>
      </c>
      <c r="O51" s="168">
        <f t="shared" si="4"/>
        <v>542.81016156337398</v>
      </c>
      <c r="P51" s="168">
        <f t="shared" si="5"/>
        <v>1357.9188099948494</v>
      </c>
      <c r="Q51" s="136" t="s">
        <v>178</v>
      </c>
      <c r="R51" s="236">
        <v>0.01</v>
      </c>
      <c r="S51" s="179">
        <f t="shared" si="6"/>
        <v>24.84993311467942</v>
      </c>
      <c r="T51" s="179">
        <f t="shared" si="7"/>
        <v>5.4281016156337403</v>
      </c>
      <c r="U51" s="179">
        <f t="shared" si="8"/>
        <v>13.579188099948494</v>
      </c>
    </row>
    <row r="52" spans="1:21" ht="15">
      <c r="A52" s="174" t="s">
        <v>162</v>
      </c>
      <c r="C52" s="171">
        <v>0.9</v>
      </c>
      <c r="D52" s="266">
        <f>'Övrig konsumtion'!E52</f>
        <v>1.1000000000000001</v>
      </c>
      <c r="E52" s="266">
        <f>'Övrig konsumtion'!F52</f>
        <v>1.3</v>
      </c>
      <c r="F52" s="171">
        <v>1.4</v>
      </c>
      <c r="G52" s="171">
        <v>1.2</v>
      </c>
      <c r="H52" s="171">
        <v>1.3</v>
      </c>
      <c r="I52" s="171">
        <v>1.1000000000000001</v>
      </c>
      <c r="J52" s="171">
        <v>1.3</v>
      </c>
      <c r="K52" s="266">
        <f>'Övrig konsumtion'!L52</f>
        <v>1.2</v>
      </c>
      <c r="L52" s="171">
        <v>1.2</v>
      </c>
      <c r="M52" s="171"/>
      <c r="N52" s="168">
        <f t="shared" si="9"/>
        <v>2484.993311467942</v>
      </c>
      <c r="O52" s="168">
        <f t="shared" si="4"/>
        <v>1194.1823554394227</v>
      </c>
      <c r="P52" s="168">
        <f t="shared" si="5"/>
        <v>1961.4382811036712</v>
      </c>
      <c r="Q52" s="136">
        <v>911</v>
      </c>
      <c r="R52" s="236">
        <v>1.17E-2</v>
      </c>
      <c r="S52" s="179">
        <f t="shared" si="6"/>
        <v>29.074421744174924</v>
      </c>
      <c r="T52" s="179">
        <f t="shared" si="7"/>
        <v>13.971933558641247</v>
      </c>
      <c r="U52" s="179">
        <f t="shared" si="8"/>
        <v>22.948827888912955</v>
      </c>
    </row>
    <row r="53" spans="1:21" ht="15">
      <c r="A53" s="274" t="s">
        <v>163</v>
      </c>
      <c r="C53" s="171">
        <v>2.1</v>
      </c>
      <c r="D53" s="266">
        <f>'Övrig konsumtion'!E53*$D$70</f>
        <v>0.4333333333333334</v>
      </c>
      <c r="E53" s="266">
        <f>'Övrig konsumtion'!F53*$E$70</f>
        <v>0.60714285714285721</v>
      </c>
      <c r="F53" s="171">
        <v>1.7</v>
      </c>
      <c r="G53" s="171">
        <v>1.3</v>
      </c>
      <c r="H53" s="171">
        <v>1.8</v>
      </c>
      <c r="I53" s="171">
        <v>1.6</v>
      </c>
      <c r="J53" s="171">
        <v>2.1</v>
      </c>
      <c r="K53" s="266">
        <f>'Övrig konsumtion'!L53*$K$70</f>
        <v>1.2454545454545454</v>
      </c>
      <c r="L53" s="171">
        <v>2.6</v>
      </c>
      <c r="M53" s="171"/>
      <c r="N53" s="168">
        <f t="shared" si="9"/>
        <v>2579.1218459932429</v>
      </c>
      <c r="O53" s="168">
        <f t="shared" si="4"/>
        <v>470.43547335492417</v>
      </c>
      <c r="P53" s="168">
        <f t="shared" si="5"/>
        <v>916.05634007589049</v>
      </c>
      <c r="Q53" s="136">
        <v>932</v>
      </c>
      <c r="R53" s="236">
        <v>1.6899999999999998E-2</v>
      </c>
      <c r="S53" s="179">
        <f t="shared" si="6"/>
        <v>43.5871591972858</v>
      </c>
      <c r="T53" s="179">
        <f t="shared" si="7"/>
        <v>7.9503594996982176</v>
      </c>
      <c r="U53" s="179">
        <f t="shared" si="8"/>
        <v>15.481352147282548</v>
      </c>
    </row>
    <row r="54" spans="1:21" ht="15">
      <c r="A54" s="174" t="s">
        <v>164</v>
      </c>
      <c r="C54" s="171">
        <v>0.4</v>
      </c>
      <c r="D54" s="266">
        <f>'Övrig konsumtion'!E54</f>
        <v>0.4</v>
      </c>
      <c r="E54" s="266">
        <f>'Övrig konsumtion'!F54</f>
        <v>0.4</v>
      </c>
      <c r="F54" s="171">
        <v>0.6</v>
      </c>
      <c r="G54" s="171">
        <v>0.5</v>
      </c>
      <c r="H54" s="171">
        <v>0.6</v>
      </c>
      <c r="I54" s="171">
        <v>0.7</v>
      </c>
      <c r="J54" s="171">
        <v>0.6</v>
      </c>
      <c r="K54" s="266">
        <f>'Övrig konsumtion'!L54</f>
        <v>0.6</v>
      </c>
      <c r="L54" s="171">
        <v>0.6</v>
      </c>
      <c r="M54" s="171"/>
      <c r="N54" s="168">
        <f>$N$22*K54/100</f>
        <v>1242.496655733971</v>
      </c>
      <c r="O54" s="168">
        <f>$O$22*D54/100</f>
        <v>434.24812925069921</v>
      </c>
      <c r="P54" s="168">
        <f t="shared" si="5"/>
        <v>603.51947110882202</v>
      </c>
      <c r="Q54" s="136">
        <v>912</v>
      </c>
      <c r="R54" s="236">
        <v>1.18E-2</v>
      </c>
      <c r="S54" s="179">
        <f t="shared" si="6"/>
        <v>14.661460537660858</v>
      </c>
      <c r="T54" s="179">
        <f t="shared" si="7"/>
        <v>5.1241279251582501</v>
      </c>
      <c r="U54" s="179">
        <f t="shared" si="8"/>
        <v>7.1215297590840994</v>
      </c>
    </row>
    <row r="55" spans="1:21" ht="15">
      <c r="A55" s="174" t="s">
        <v>165</v>
      </c>
      <c r="C55" s="171">
        <v>4.3</v>
      </c>
      <c r="D55" s="266">
        <f>'Övrig konsumtion'!E55</f>
        <v>2.2999999999999998</v>
      </c>
      <c r="E55" s="266">
        <f>'Övrig konsumtion'!F55</f>
        <v>3.5</v>
      </c>
      <c r="F55" s="171">
        <v>3.9</v>
      </c>
      <c r="G55" s="171">
        <v>4.0999999999999996</v>
      </c>
      <c r="H55" s="171">
        <v>4.3</v>
      </c>
      <c r="I55" s="171">
        <v>4.5999999999999996</v>
      </c>
      <c r="J55" s="171">
        <v>4.4000000000000004</v>
      </c>
      <c r="K55" s="266">
        <f>'Övrig konsumtion'!L55</f>
        <v>5.5</v>
      </c>
      <c r="L55" s="171">
        <v>6.3</v>
      </c>
      <c r="M55" s="171"/>
      <c r="N55" s="168">
        <f t="shared" si="9"/>
        <v>11389.552677561402</v>
      </c>
      <c r="O55" s="168">
        <f t="shared" si="4"/>
        <v>2496.92674319152</v>
      </c>
      <c r="P55" s="168">
        <f t="shared" si="5"/>
        <v>5280.7953722021912</v>
      </c>
      <c r="Q55" s="136" t="s">
        <v>174</v>
      </c>
      <c r="R55" s="236"/>
      <c r="S55" s="179">
        <f t="shared" si="6"/>
        <v>0</v>
      </c>
      <c r="T55" s="179">
        <f t="shared" si="7"/>
        <v>0</v>
      </c>
      <c r="U55" s="179">
        <f t="shared" si="8"/>
        <v>0</v>
      </c>
    </row>
    <row r="56" spans="1:21" ht="15">
      <c r="A56" s="174" t="s">
        <v>166</v>
      </c>
      <c r="C56" s="171">
        <v>2.2999999999999998</v>
      </c>
      <c r="D56" s="266">
        <f>'Övrig konsumtion'!E56</f>
        <v>3.1</v>
      </c>
      <c r="E56" s="266">
        <f>'Övrig konsumtion'!F56</f>
        <v>2.5</v>
      </c>
      <c r="F56" s="171">
        <v>2.7</v>
      </c>
      <c r="G56" s="171">
        <v>3</v>
      </c>
      <c r="H56" s="171">
        <v>2.9</v>
      </c>
      <c r="I56" s="171">
        <v>3.5</v>
      </c>
      <c r="J56" s="171">
        <v>3.3</v>
      </c>
      <c r="K56" s="266">
        <f>'Övrig konsumtion'!L56</f>
        <v>3</v>
      </c>
      <c r="L56" s="171">
        <v>3.2</v>
      </c>
      <c r="M56" s="171"/>
      <c r="N56" s="168">
        <f t="shared" si="9"/>
        <v>6212.4832786698544</v>
      </c>
      <c r="O56" s="168">
        <f t="shared" si="4"/>
        <v>3365.4230016929191</v>
      </c>
      <c r="P56" s="168">
        <f t="shared" si="5"/>
        <v>3771.9966944301373</v>
      </c>
      <c r="Q56" s="136">
        <v>941</v>
      </c>
      <c r="R56" s="237">
        <v>1.3599999999999999E-2</v>
      </c>
      <c r="S56" s="179">
        <f t="shared" si="6"/>
        <v>84.489772589910018</v>
      </c>
      <c r="T56" s="179">
        <f t="shared" si="7"/>
        <v>45.769752823023694</v>
      </c>
      <c r="U56" s="179">
        <f t="shared" si="8"/>
        <v>51.299155044249865</v>
      </c>
    </row>
    <row r="57" spans="1:21" ht="15">
      <c r="A57" s="174" t="s">
        <v>167</v>
      </c>
      <c r="C57" s="171">
        <v>0.6</v>
      </c>
      <c r="D57" s="266">
        <f>'Övrig konsumtion'!E57</f>
        <v>0.4</v>
      </c>
      <c r="E57" s="266">
        <f>'Övrig konsumtion'!F57</f>
        <v>0.3</v>
      </c>
      <c r="F57" s="171">
        <v>0.5</v>
      </c>
      <c r="G57" s="171">
        <v>0.4</v>
      </c>
      <c r="H57" s="171">
        <v>0.4</v>
      </c>
      <c r="I57" s="171">
        <v>0.4</v>
      </c>
      <c r="J57" s="171">
        <v>0.5</v>
      </c>
      <c r="K57" s="266">
        <f>'Övrig konsumtion'!L57</f>
        <v>0.5</v>
      </c>
      <c r="L57" s="171">
        <v>0.5</v>
      </c>
      <c r="M57" s="171"/>
      <c r="N57" s="168">
        <f t="shared" si="9"/>
        <v>1035.4138797783091</v>
      </c>
      <c r="O57" s="168">
        <f t="shared" si="4"/>
        <v>434.24812925069921</v>
      </c>
      <c r="P57" s="168">
        <f t="shared" si="5"/>
        <v>452.63960333161646</v>
      </c>
      <c r="Q57" s="136">
        <v>942</v>
      </c>
      <c r="R57" s="237">
        <v>1.4999999999999999E-2</v>
      </c>
      <c r="S57" s="179">
        <f t="shared" si="6"/>
        <v>15.531208196674637</v>
      </c>
      <c r="T57" s="179">
        <f t="shared" si="7"/>
        <v>6.5137219387604874</v>
      </c>
      <c r="U57" s="179">
        <f t="shared" si="8"/>
        <v>6.7895940499742462</v>
      </c>
    </row>
    <row r="58" spans="1:21" ht="15">
      <c r="A58" s="174" t="s">
        <v>168</v>
      </c>
      <c r="C58" s="171">
        <v>4</v>
      </c>
      <c r="D58" s="266">
        <f>'Övrig konsumtion'!E58</f>
        <v>4.0999999999999996</v>
      </c>
      <c r="E58" s="266">
        <f>'Övrig konsumtion'!F58</f>
        <v>4.0999999999999996</v>
      </c>
      <c r="F58" s="171">
        <v>3.9</v>
      </c>
      <c r="G58" s="171">
        <v>3.4</v>
      </c>
      <c r="H58" s="171">
        <v>3.7</v>
      </c>
      <c r="I58" s="171">
        <v>3.6</v>
      </c>
      <c r="J58" s="171">
        <v>3.3</v>
      </c>
      <c r="K58" s="266">
        <f>'Övrig konsumtion'!L58</f>
        <v>3.3</v>
      </c>
      <c r="L58" s="171">
        <v>2.9</v>
      </c>
      <c r="M58" s="171"/>
      <c r="N58" s="168">
        <f t="shared" si="9"/>
        <v>6833.7316065368404</v>
      </c>
      <c r="O58" s="168">
        <f t="shared" si="4"/>
        <v>4451.0433248196669</v>
      </c>
      <c r="P58" s="168">
        <f t="shared" si="5"/>
        <v>6186.074578865424</v>
      </c>
      <c r="Q58" s="136">
        <v>952</v>
      </c>
      <c r="R58" s="236">
        <v>1.5100000000000001E-2</v>
      </c>
      <c r="S58" s="179">
        <f t="shared" si="6"/>
        <v>103.18934725870629</v>
      </c>
      <c r="T58" s="179">
        <f t="shared" si="7"/>
        <v>67.210754204776975</v>
      </c>
      <c r="U58" s="179">
        <f t="shared" si="8"/>
        <v>93.409726140867903</v>
      </c>
    </row>
    <row r="59" spans="1:21" ht="15">
      <c r="A59" s="174" t="s">
        <v>169</v>
      </c>
      <c r="B59" s="153"/>
      <c r="C59" s="171">
        <v>1.6</v>
      </c>
      <c r="D59" s="266">
        <f>'Övrig konsumtion'!E59</f>
        <v>1</v>
      </c>
      <c r="E59" s="266">
        <f>'Övrig konsumtion'!F59</f>
        <v>1.3</v>
      </c>
      <c r="F59" s="171">
        <v>1.2</v>
      </c>
      <c r="G59" s="171">
        <v>1</v>
      </c>
      <c r="H59" s="171">
        <v>1.1000000000000001</v>
      </c>
      <c r="I59" s="171">
        <v>1</v>
      </c>
      <c r="J59" s="171">
        <v>0.9</v>
      </c>
      <c r="K59" s="266">
        <f>'Övrig konsumtion'!L59</f>
        <v>0.9</v>
      </c>
      <c r="L59" s="171">
        <v>0.6</v>
      </c>
      <c r="M59" s="171"/>
      <c r="N59" s="168">
        <f t="shared" si="9"/>
        <v>1863.7449836009566</v>
      </c>
      <c r="O59" s="168">
        <f t="shared" si="4"/>
        <v>1085.620323126748</v>
      </c>
      <c r="P59" s="168">
        <f t="shared" si="5"/>
        <v>1961.4382811036712</v>
      </c>
      <c r="Q59" s="136">
        <v>813</v>
      </c>
      <c r="R59" s="236">
        <v>8.5000000000000006E-3</v>
      </c>
      <c r="S59" s="179">
        <f t="shared" si="6"/>
        <v>15.841832360608132</v>
      </c>
      <c r="T59" s="179">
        <f t="shared" si="7"/>
        <v>9.227772746577358</v>
      </c>
      <c r="U59" s="179">
        <f t="shared" si="8"/>
        <v>16.672225389381207</v>
      </c>
    </row>
    <row r="60" spans="1:21" ht="15">
      <c r="A60" s="174" t="s">
        <v>170</v>
      </c>
      <c r="B60" s="153"/>
      <c r="C60" s="171">
        <v>1.7</v>
      </c>
      <c r="D60" s="266">
        <f>'Övrig konsumtion'!E60</f>
        <v>1.9</v>
      </c>
      <c r="E60" s="266">
        <f>'Övrig konsumtion'!F60</f>
        <v>1.7</v>
      </c>
      <c r="F60" s="171">
        <v>1.7</v>
      </c>
      <c r="G60" s="171">
        <v>1.2</v>
      </c>
      <c r="H60" s="171">
        <v>1.3</v>
      </c>
      <c r="I60" s="171">
        <v>1.3</v>
      </c>
      <c r="J60" s="171">
        <v>1.1000000000000001</v>
      </c>
      <c r="K60" s="266">
        <f>'Övrig konsumtion'!L60</f>
        <v>1</v>
      </c>
      <c r="L60" s="171">
        <v>0.9</v>
      </c>
      <c r="M60" s="171"/>
      <c r="N60" s="168">
        <f>$N$22*K60/100</f>
        <v>2070.8277595566183</v>
      </c>
      <c r="O60" s="168">
        <f t="shared" si="4"/>
        <v>2062.6786139408209</v>
      </c>
      <c r="P60" s="168">
        <f t="shared" si="5"/>
        <v>2564.9577522124932</v>
      </c>
      <c r="Q60" s="136">
        <v>813</v>
      </c>
      <c r="R60" s="236">
        <v>8.5000000000000006E-3</v>
      </c>
      <c r="S60" s="179">
        <f t="shared" si="6"/>
        <v>17.602035956231255</v>
      </c>
      <c r="T60" s="179">
        <f t="shared" si="7"/>
        <v>17.53276821849698</v>
      </c>
      <c r="U60" s="179">
        <f t="shared" si="8"/>
        <v>21.802140893806193</v>
      </c>
    </row>
    <row r="61" spans="1:21" ht="15">
      <c r="A61" s="174" t="s">
        <v>426</v>
      </c>
      <c r="B61" s="153"/>
      <c r="C61" s="171"/>
      <c r="D61" s="267">
        <f>'Övrig konsumtion'!E26*2</f>
        <v>5.6</v>
      </c>
      <c r="E61" s="267">
        <f>'Övrig konsumtion'!F26*2</f>
        <v>6.6</v>
      </c>
      <c r="F61" s="171"/>
      <c r="G61" s="171"/>
      <c r="H61" s="171"/>
      <c r="I61" s="171"/>
      <c r="J61" s="171"/>
      <c r="K61" s="267">
        <v>7.6</v>
      </c>
      <c r="L61" s="171"/>
      <c r="M61" s="171"/>
      <c r="N61" s="168">
        <f>$N$22*K61/100</f>
        <v>15738.290972630301</v>
      </c>
      <c r="O61" s="168">
        <f>$O$22*D61/100</f>
        <v>6079.4738095097882</v>
      </c>
      <c r="P61" s="168">
        <f t="shared" ref="P61:P62" si="10">$P$22*E61/100</f>
        <v>9958.0712732955617</v>
      </c>
      <c r="R61" s="236">
        <v>8.6999999999999994E-3</v>
      </c>
      <c r="S61" s="179">
        <f>N61*$R61</f>
        <v>136.9231314618836</v>
      </c>
      <c r="T61" s="179">
        <f>O61*$R61</f>
        <v>52.891422142735152</v>
      </c>
      <c r="U61" s="179">
        <f t="shared" ref="U61:U62" si="11">P61*$R61</f>
        <v>86.635220077671377</v>
      </c>
    </row>
    <row r="62" spans="1:21" ht="15">
      <c r="A62" s="174" t="s">
        <v>427</v>
      </c>
      <c r="B62" s="153"/>
      <c r="C62" s="171"/>
      <c r="D62" s="267">
        <f>'Övrig konsumtion'!E31*2</f>
        <v>3.4</v>
      </c>
      <c r="E62" s="267">
        <f>'Övrig konsumtion'!F31*2</f>
        <v>3.4</v>
      </c>
      <c r="F62" s="171"/>
      <c r="G62" s="171"/>
      <c r="H62" s="171"/>
      <c r="I62" s="171"/>
      <c r="J62" s="171"/>
      <c r="K62" s="267">
        <v>4</v>
      </c>
      <c r="L62" s="171"/>
      <c r="M62" s="171"/>
      <c r="N62" s="168">
        <f>$N$22*K62/100</f>
        <v>8283.3110382264731</v>
      </c>
      <c r="O62" s="168">
        <f t="shared" si="4"/>
        <v>3691.1090986309428</v>
      </c>
      <c r="P62" s="168">
        <f t="shared" si="10"/>
        <v>5129.9155044249865</v>
      </c>
      <c r="R62" s="236">
        <v>8.6999999999999994E-3</v>
      </c>
      <c r="S62" s="179">
        <f>N62*$R62</f>
        <v>72.064806032570317</v>
      </c>
      <c r="T62" s="179">
        <f>O62*$R62</f>
        <v>32.112649158089198</v>
      </c>
      <c r="U62" s="179">
        <f t="shared" si="11"/>
        <v>44.630264888497379</v>
      </c>
    </row>
    <row r="63" spans="1:21" s="132" customFormat="1">
      <c r="A63" s="161"/>
      <c r="B63" s="161"/>
      <c r="C63" s="161"/>
      <c r="D63" s="256"/>
      <c r="E63" s="256"/>
      <c r="F63" s="161"/>
      <c r="G63" s="161"/>
      <c r="H63" s="161"/>
      <c r="I63" s="161"/>
      <c r="J63" s="161"/>
      <c r="K63" s="256"/>
      <c r="L63" s="161"/>
      <c r="M63" s="161"/>
      <c r="N63" s="181">
        <f>SUM(N26:N62)</f>
        <v>170843.29016342101</v>
      </c>
      <c r="O63" s="181">
        <f>SUM(O26:O62)</f>
        <v>88803.742431767969</v>
      </c>
      <c r="P63" s="181">
        <f>SUM(P26:P62)</f>
        <v>122967.09223842248</v>
      </c>
      <c r="Q63" s="180"/>
      <c r="R63" s="238">
        <f>SUM(R26:R62)</f>
        <v>0.41179999999999994</v>
      </c>
      <c r="S63" s="181">
        <f>SUM(S26:S62)</f>
        <v>1619.8429719312776</v>
      </c>
      <c r="T63" s="181">
        <f>SUM(T26:T62)</f>
        <v>949.66085259276474</v>
      </c>
      <c r="U63" s="181">
        <f>SUM(U26:U62)</f>
        <v>1284.885409997293</v>
      </c>
    </row>
    <row r="64" spans="1:21">
      <c r="C64" s="245">
        <f t="shared" ref="C64:J64" si="12">SUM(C26:C63)</f>
        <v>79.799999999999983</v>
      </c>
      <c r="D64" s="268">
        <f>SUM(D26:D63)</f>
        <v>81.800000000000011</v>
      </c>
      <c r="E64" s="268">
        <f t="shared" si="12"/>
        <v>81.499999999999972</v>
      </c>
      <c r="F64" s="245">
        <f t="shared" si="12"/>
        <v>82.100000000000009</v>
      </c>
      <c r="G64" s="245">
        <f t="shared" si="12"/>
        <v>78.900000000000006</v>
      </c>
      <c r="H64" s="245">
        <f t="shared" si="12"/>
        <v>81.59999999999998</v>
      </c>
      <c r="I64" s="245">
        <f t="shared" si="12"/>
        <v>80.5</v>
      </c>
      <c r="J64" s="245">
        <f t="shared" si="12"/>
        <v>80.499999999999986</v>
      </c>
      <c r="K64" s="268">
        <f>SUM(K26:K63)</f>
        <v>82.499999999999986</v>
      </c>
      <c r="L64" s="245">
        <f>SUM(L26:L63)</f>
        <v>81.099999999999994</v>
      </c>
    </row>
    <row r="65" spans="4:21">
      <c r="S65" s="179">
        <v>1871.841920140823</v>
      </c>
      <c r="T65" s="179">
        <v>1051.6295508096496</v>
      </c>
      <c r="U65" s="179">
        <v>1442.7434716591943</v>
      </c>
    </row>
    <row r="66" spans="4:21">
      <c r="D66" s="245"/>
      <c r="K66" s="245">
        <f>SUM(K26:K60)</f>
        <v>70.899999999999991</v>
      </c>
      <c r="P66" s="239">
        <f>AVERAGE(R26:R62)</f>
        <v>1.3283870967741933E-2</v>
      </c>
    </row>
    <row r="67" spans="4:21">
      <c r="S67" s="110">
        <f t="shared" ref="S67:T67" si="13">(S65-S63)/S65</f>
        <v>0.13462619118530425</v>
      </c>
      <c r="T67" s="110">
        <f t="shared" si="13"/>
        <v>9.6962564563138356E-2</v>
      </c>
      <c r="U67" s="110">
        <f>(U65-U63)/U65</f>
        <v>0.1094151973395244</v>
      </c>
    </row>
    <row r="68" spans="4:21">
      <c r="D68" s="270">
        <f>D61+D62</f>
        <v>9</v>
      </c>
      <c r="E68" s="270">
        <f>E61+E62</f>
        <v>10</v>
      </c>
      <c r="K68" s="270">
        <f>K61+K62</f>
        <v>11.6</v>
      </c>
    </row>
    <row r="69" spans="4:21">
      <c r="D69" s="269">
        <f>SUM('Övrig konsumtion'!E29,'Övrig konsumtion'!E32,'Övrig konsumtion'!E33,'Övrig konsumtion'!E35,'Övrig konsumtion'!E37,'Övrig konsumtion'!E42:E46,'Övrig konsumtion'!E53)</f>
        <v>13.5</v>
      </c>
      <c r="E69" s="269">
        <f>SUM('Övrig konsumtion'!F29,'Övrig konsumtion'!F32,'Övrig konsumtion'!F33,'Övrig konsumtion'!F35,'Övrig konsumtion'!F37,'Övrig konsumtion'!F42:F46,'Övrig konsumtion'!F53)</f>
        <v>16.8</v>
      </c>
      <c r="K69" s="269">
        <f>SUM('Övrig konsumtion'!L29,'Övrig konsumtion'!L32,'Övrig konsumtion'!L33,'Övrig konsumtion'!L35,'Övrig konsumtion'!L37,'Övrig konsumtion'!L42:L46,'Övrig konsumtion'!L53)</f>
        <v>25.299999999999997</v>
      </c>
    </row>
    <row r="70" spans="4:21">
      <c r="D70" s="155">
        <f>1-(D68/D69)</f>
        <v>0.33333333333333337</v>
      </c>
      <c r="E70" s="155">
        <f>1-(E68/E69)</f>
        <v>0.40476190476190477</v>
      </c>
      <c r="K70" s="155">
        <f>1-(K68/K69)</f>
        <v>0.54150197628458496</v>
      </c>
    </row>
  </sheetData>
  <mergeCells count="14">
    <mergeCell ref="L2:L4"/>
    <mergeCell ref="Q3:Q4"/>
    <mergeCell ref="R3:R4"/>
    <mergeCell ref="A6:A8"/>
    <mergeCell ref="A1:L1"/>
    <mergeCell ref="C2:C4"/>
    <mergeCell ref="D2:D4"/>
    <mergeCell ref="E2:E4"/>
    <mergeCell ref="F2:F4"/>
    <mergeCell ref="G2:G4"/>
    <mergeCell ref="H2:H4"/>
    <mergeCell ref="I2:I4"/>
    <mergeCell ref="J2:J4"/>
    <mergeCell ref="K2:K4"/>
  </mergeCells>
  <conditionalFormatting sqref="R26:R62">
    <cfRule type="cellIs" dxfId="0" priority="1" operator="greaterThan">
      <formula>0.016</formula>
    </cfRule>
  </conditionalFormatting>
  <pageMargins left="0.75" right="0.75" top="1" bottom="1" header="0.5" footer="0.5"/>
  <pageSetup paperSize="9" orientation="landscape"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20</vt:i4>
      </vt:variant>
    </vt:vector>
  </HeadingPairs>
  <TitlesOfParts>
    <vt:vector size="20" baseType="lpstr">
      <vt:lpstr>Typhushåll 2010</vt:lpstr>
      <vt:lpstr>BAU 2050</vt:lpstr>
      <vt:lpstr>DKI 2050</vt:lpstr>
      <vt:lpstr>KLIMAT 2050</vt:lpstr>
      <vt:lpstr>Jämf medelgöteborgareb</vt:lpstr>
      <vt:lpstr>Flyg nuläge</vt:lpstr>
      <vt:lpstr>Flyg BAU</vt:lpstr>
      <vt:lpstr>Övrig konsumtion</vt:lpstr>
      <vt:lpstr>Övrig konsumtion KLIMAT</vt:lpstr>
      <vt:lpstr>kollektivtrafik</vt:lpstr>
      <vt:lpstr>emissionsfaktorer variabla</vt:lpstr>
      <vt:lpstr>Emissionsfaktorer bränslen</vt:lpstr>
      <vt:lpstr>data från trafikkontoret</vt:lpstr>
      <vt:lpstr>Biltrafik BAU</vt:lpstr>
      <vt:lpstr>elanvändning BAU</vt:lpstr>
      <vt:lpstr>Bakgrundsdata</vt:lpstr>
      <vt:lpstr>bostadsyta</vt:lpstr>
      <vt:lpstr>offentlig konsumtion</vt:lpstr>
      <vt:lpstr>Blad2</vt:lpstr>
      <vt:lpstr>Blad3</vt:lpstr>
    </vt:vector>
  </TitlesOfParts>
  <Company>Göteborgs stad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Inger-Lise Svensson</dc:creator>
  <cp:lastModifiedBy>Lisa Bolin</cp:lastModifiedBy>
  <cp:lastPrinted>2013-03-06T10:15:28Z</cp:lastPrinted>
  <dcterms:created xsi:type="dcterms:W3CDTF">2012-12-10T12:17:20Z</dcterms:created>
  <dcterms:modified xsi:type="dcterms:W3CDTF">2014-03-28T09:51:31Z</dcterms:modified>
</cp:coreProperties>
</file>